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4\08.2024\"/>
    </mc:Choice>
  </mc:AlternateContent>
  <bookViews>
    <workbookView xWindow="0" yWindow="0" windowWidth="28800" windowHeight="12435" activeTab="3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область'!$A$10:$G$10</definedName>
    <definedName name="_xlnm._FilterDatabase" localSheetId="1" hidden="1">'Камчатский край'!$A$11:$G$37</definedName>
    <definedName name="_xlnm._FilterDatabase" localSheetId="0" hidden="1">'Приморский край'!$A$11:$H$65</definedName>
    <definedName name="_xlnm._FilterDatabase" localSheetId="2" hidden="1">'Хабаровский край'!$A$11:$K$167</definedName>
    <definedName name="_xlnm.Print_Area" localSheetId="1">'Камчатский край'!$A$1:$G$37</definedName>
    <definedName name="_xlnm.Print_Area" localSheetId="0">'Приморский край'!$A$1:$G$67</definedName>
    <definedName name="_xlnm.Print_Area" localSheetId="2">'Хабаровский край'!$A$1:$G$167</definedName>
  </definedNames>
  <calcPr calcId="152511"/>
</workbook>
</file>

<file path=xl/calcChain.xml><?xml version="1.0" encoding="utf-8"?>
<calcChain xmlns="http://schemas.openxmlformats.org/spreadsheetml/2006/main">
  <c r="F12" i="10" l="1"/>
  <c r="F166" i="9" l="1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E166" i="9"/>
  <c r="E164" i="9"/>
  <c r="E163" i="9"/>
  <c r="E162" i="9"/>
  <c r="E161" i="9"/>
  <c r="E160" i="9"/>
  <c r="E159" i="9"/>
  <c r="E158" i="9"/>
  <c r="E157" i="9"/>
  <c r="E156" i="9"/>
  <c r="E155" i="9"/>
  <c r="E154" i="9"/>
  <c r="G154" i="9" s="1"/>
  <c r="E153" i="9"/>
  <c r="E152" i="9"/>
  <c r="G152" i="9" s="1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G24" i="9" s="1"/>
  <c r="E23" i="9"/>
  <c r="G23" i="9" s="1"/>
  <c r="E22" i="9"/>
  <c r="E21" i="9"/>
  <c r="E20" i="9"/>
  <c r="E19" i="9"/>
  <c r="E18" i="9"/>
  <c r="E17" i="9"/>
  <c r="E16" i="9"/>
  <c r="E15" i="9"/>
  <c r="E14" i="9"/>
  <c r="E13" i="9"/>
  <c r="E12" i="9"/>
  <c r="G12" i="9" s="1"/>
  <c r="G13" i="9"/>
  <c r="G14" i="9"/>
  <c r="G15" i="9"/>
  <c r="G16" i="9"/>
  <c r="G17" i="9"/>
  <c r="G18" i="9"/>
  <c r="G19" i="9"/>
  <c r="G20" i="9"/>
  <c r="G21" i="9"/>
  <c r="G22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3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E29" i="7"/>
  <c r="G12" i="10"/>
  <c r="G13" i="10" s="1"/>
  <c r="E12" i="10"/>
  <c r="F34" i="7" l="1"/>
  <c r="F33" i="7"/>
  <c r="F32" i="7"/>
  <c r="F26" i="7"/>
  <c r="F21" i="7"/>
  <c r="F30" i="7"/>
  <c r="F27" i="7"/>
  <c r="F25" i="7"/>
  <c r="F23" i="7"/>
  <c r="F22" i="7"/>
  <c r="F20" i="7"/>
  <c r="F19" i="7"/>
  <c r="F18" i="7"/>
  <c r="F31" i="7"/>
  <c r="F29" i="7"/>
  <c r="F28" i="7"/>
  <c r="F24" i="7"/>
  <c r="F17" i="7"/>
  <c r="F16" i="7"/>
  <c r="F15" i="7"/>
  <c r="F14" i="7"/>
  <c r="F13" i="7"/>
  <c r="F12" i="7"/>
  <c r="E34" i="7"/>
  <c r="E33" i="7"/>
  <c r="E32" i="7"/>
  <c r="E26" i="7"/>
  <c r="E21" i="7"/>
  <c r="E30" i="7"/>
  <c r="E27" i="7"/>
  <c r="E25" i="7"/>
  <c r="E23" i="7"/>
  <c r="E22" i="7"/>
  <c r="E20" i="7"/>
  <c r="E19" i="7"/>
  <c r="E18" i="7"/>
  <c r="E31" i="7"/>
  <c r="E28" i="7"/>
  <c r="E24" i="7"/>
  <c r="E17" i="7"/>
  <c r="E16" i="7"/>
  <c r="E15" i="7"/>
  <c r="E14" i="7"/>
  <c r="E13" i="7"/>
  <c r="E12" i="7"/>
  <c r="F36" i="7" l="1"/>
  <c r="F35" i="7"/>
  <c r="E36" i="7"/>
  <c r="E35" i="7"/>
  <c r="F65" i="6" l="1"/>
  <c r="G60" i="6"/>
  <c r="G61" i="6"/>
  <c r="G62" i="6"/>
  <c r="G63" i="6"/>
  <c r="G64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9" i="7" l="1"/>
  <c r="F9" i="7"/>
  <c r="E37" i="7" l="1"/>
  <c r="F37" i="7" l="1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12" i="7"/>
  <c r="F9" i="9" l="1"/>
  <c r="E9" i="9"/>
  <c r="E13" i="10" l="1"/>
  <c r="F13" i="10"/>
  <c r="E9" i="6" l="1"/>
  <c r="E65" i="6"/>
  <c r="F9" i="6"/>
  <c r="F167" i="9" l="1"/>
  <c r="E167" i="9"/>
  <c r="A8" i="9" l="1"/>
  <c r="G18" i="6" l="1"/>
  <c r="G19" i="6"/>
  <c r="G20" i="6"/>
  <c r="G21" i="6"/>
  <c r="G59" i="6" l="1"/>
  <c r="G57" i="6" l="1"/>
  <c r="G12" i="6" l="1"/>
  <c r="G54" i="6" l="1"/>
  <c r="G55" i="6"/>
  <c r="G56" i="6"/>
  <c r="G53" i="6" l="1"/>
  <c r="G58" i="6"/>
  <c r="G13" i="6" l="1"/>
  <c r="G14" i="6"/>
  <c r="G15" i="6"/>
  <c r="G16" i="6"/>
  <c r="G17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65" i="6" l="1"/>
  <c r="A8" i="10"/>
  <c r="C2" i="10"/>
  <c r="C2" i="9"/>
  <c r="A8" i="7"/>
  <c r="C2" i="7"/>
  <c r="F9" i="10" l="1"/>
  <c r="E9" i="10" l="1"/>
</calcChain>
</file>

<file path=xl/comments1.xml><?xml version="1.0" encoding="utf-8"?>
<comments xmlns="http://schemas.openxmlformats.org/spreadsheetml/2006/main">
  <authors>
    <author>Автор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b/>
            <sz val="12"/>
            <color indexed="81"/>
            <rFont val="Tahoma"/>
            <family val="2"/>
            <charset val="204"/>
          </rPr>
          <t>до 01.12.2022 - ООО «МСМР»</t>
        </r>
      </text>
    </comment>
  </commentList>
</comments>
</file>

<file path=xl/sharedStrings.xml><?xml version="1.0" encoding="utf-8"?>
<sst xmlns="http://schemas.openxmlformats.org/spreadsheetml/2006/main" count="974" uniqueCount="441">
  <si>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</si>
  <si>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</si>
  <si>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</si>
  <si>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</si>
  <si>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</si>
  <si>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</si>
  <si>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</si>
  <si>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</si>
  <si>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</si>
  <si>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Итого:</t>
  </si>
  <si>
    <t>ГРС Уссурийск</t>
  </si>
  <si>
    <t>ГРС Спасск-Дальний</t>
  </si>
  <si>
    <t>1 гр.</t>
  </si>
  <si>
    <t>3 гр.</t>
  </si>
  <si>
    <t>2 гр.</t>
  </si>
  <si>
    <t>4 гр.</t>
  </si>
  <si>
    <t>5 гр.</t>
  </si>
  <si>
    <t>8 гр.</t>
  </si>
  <si>
    <t>7 гр.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</si>
  <si>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</si>
  <si>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</si>
  <si>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</si>
  <si>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ДВЭУК-ГенерацияСети АО (Мини-ТЭЦ "Океанариум") о.Русский, Академика Касьянова,1</t>
  </si>
  <si>
    <t xml:space="preserve">ДВЭУК-ГенерацияСети АО (Мини-ТЭЦ "Центральная") о.Русский, п. Аякс, 16 </t>
  </si>
  <si>
    <t>ДВФУ (ГРС-1 г. Владивосток) г. Владивосток, нп. Русский Остров, п. Аякс, д. 10: нежилое здание-Конференц-центр (корп. № 20 и № 21)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</si>
  <si>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</si>
  <si>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</si>
  <si>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</si>
  <si>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>Население</t>
  </si>
  <si>
    <t>ББР Банк АО (офисные помещения) (ГРС Уссурийск) г. Уссурийск, ул.Солнечная, д.1, кв.13, ул.Солнечная, д.3, кв.13, ул.Солнечная, д.3, кв.16</t>
  </si>
  <si>
    <t>ГРС Артем</t>
  </si>
  <si>
    <t xml:space="preserve">УПТС АО (Котельная № 13) (ГРС Уссурийск) г. Уссурийск, ул. Раздольная, д. 4Д/1 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</si>
  <si>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</si>
  <si>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</si>
  <si>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</si>
  <si>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</si>
  <si>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27) (ГРС Уссурийск) г. Уссурийск, ул. Можайского, д. 3</t>
  </si>
  <si>
    <t>УПТС АО (Котельная № 25) (ГРС Уссурийск) г. Уссурийск, ул. Арсеньева, 19б</t>
  </si>
  <si>
    <t>НК Лотос ООО (Теплицы) (ГРС Уссурийск) Михайловский район, с. Михайловка, Территория ТОР Михайловский</t>
  </si>
  <si>
    <t>ИСТ-ФАРМ ООО (ГРС Уссурийск) г. Уссурийск, ул. Волочаевская, д. 120, корп. В</t>
  </si>
  <si>
    <t>Уссури-холод ООО (ГРС Уссурийск) г. Уссурийск, ул. Речная, д. 4</t>
  </si>
  <si>
    <t>ДВЭУК-ГенерацияСети АО (Мини-ТЭЦ "Северная") о.Русский, поселок Поспелово,19</t>
  </si>
  <si>
    <t>Детский сад № 1 г. Уссурийска МБДОУ (ГРС Уссурийск)</t>
  </si>
  <si>
    <t>УПТС АО (Котельная № 5) (ГРС Уссурийск) г. Уссурийск, ул. Коммунальная, 8б/1</t>
  </si>
  <si>
    <t>Примтеплоэнерго КГУП (Котельная мкр. Шестой, Парковый, Садовый) (ГРС Большой Камень) г. Большой Камень, ул. Рабочая, д. 3б</t>
  </si>
  <si>
    <t>Кислород АО (ГРС Уссурийск) г. Уссурийск</t>
  </si>
  <si>
    <t>Газпром гелий сервис ООО (Котельная) (ГРС Артём)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</si>
  <si>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</si>
  <si>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</si>
  <si>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</si>
  <si>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</si>
  <si>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</si>
  <si>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</si>
  <si>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Тымлатский рыбокомбинат ООО г. Петропавловск-Камчатский, ш. Северо-Восточное, кадастровый номер зем. участка 41:01:0010114:47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</si>
  <si>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</si>
  <si>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</si>
  <si>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6 гр.</t>
  </si>
  <si>
    <t>ОАО "Дальхимфарм"</t>
  </si>
  <si>
    <t>ООО "СО2 Промсервис"</t>
  </si>
  <si>
    <t>Крестьянское (фермерское) Хозяйство Глава Бутков Виктор Борисович</t>
  </si>
  <si>
    <t>ООО "Формула-ДВ"</t>
  </si>
  <si>
    <t>ООО "Джей Джи Си Эвергрин"</t>
  </si>
  <si>
    <t>ООО "Завод Техно"</t>
  </si>
  <si>
    <t>ООО "ТехноНИКОЛЬ Дальний Восток"</t>
  </si>
  <si>
    <t>МУП г. Хабаровска "Тепловые сети"</t>
  </si>
  <si>
    <t>Войсковая часть 6767</t>
  </si>
  <si>
    <t>ООО "ДАЛЬРЕО"</t>
  </si>
  <si>
    <t>ООО "ТН Пластики"</t>
  </si>
  <si>
    <t>ООО "ВМК Капитал"</t>
  </si>
  <si>
    <t>ООО «СТРОЙКОНТРОЛЬ»</t>
  </si>
  <si>
    <t>АО "ННК-Хабаровский НПЗ"</t>
  </si>
  <si>
    <t>Индивидуальный предприниматель Крачунова Анна Владимировна</t>
  </si>
  <si>
    <t>ООО "Капторстрой"</t>
  </si>
  <si>
    <t>ООО "Хабаровский завод строительной керамики"</t>
  </si>
  <si>
    <t>ООО "Пивоваренная компания "Балтика" - "Балтика-Хабаровск"</t>
  </si>
  <si>
    <t>Краевое государственное автономное учреждение "Дирекция спортивных сооружений Хабаровского края"</t>
  </si>
  <si>
    <t>ООО "Фонд жилищного строительства"</t>
  </si>
  <si>
    <t>ТСЖ "Облака"</t>
  </si>
  <si>
    <t>ООО "УК "Фортуна"</t>
  </si>
  <si>
    <t>ООО УК "Городская"</t>
  </si>
  <si>
    <t>ООО «Единый город»</t>
  </si>
  <si>
    <t>ООО "Розенталь Групп "Ботейн"</t>
  </si>
  <si>
    <t>ООО УК "Магнит"</t>
  </si>
  <si>
    <t>Хабаровский завод ЖБШ - филиал АО "БЭТ"</t>
  </si>
  <si>
    <t>ООО "Розенталь Групп "Ицар"</t>
  </si>
  <si>
    <t>Краевое государственное бюджетное образовательное учреждение «Краевой детский центр «Созвездие»</t>
  </si>
  <si>
    <t>ООО "Амурсталь-центр"</t>
  </si>
  <si>
    <t>ООО "Амурсталь"</t>
  </si>
  <si>
    <t>ООО "РН-Комсомольский НПЗ"</t>
  </si>
  <si>
    <t>ПАО «ОАК»</t>
  </si>
  <si>
    <t>ПАО "Амурский судостроительный завод"</t>
  </si>
  <si>
    <t>МУП "Теплоцентраль"</t>
  </si>
  <si>
    <t>ООО "МастерГрад"</t>
  </si>
  <si>
    <t>ООО "Хлебозавод № 3"</t>
  </si>
  <si>
    <t>АО "Дакгомз"</t>
  </si>
  <si>
    <t>ООО "Газэнергосеть Дальний Восток"</t>
  </si>
  <si>
    <t>ООО "Фирма "Сталкер"</t>
  </si>
  <si>
    <t>Индивидуальный предприниматель Абраменко Денис Александрович</t>
  </si>
  <si>
    <t>ООО "Геопроминвест"</t>
  </si>
  <si>
    <t>ООО "Шелеховский теплоэнергетический комплекс"</t>
  </si>
  <si>
    <t>ООО "Амурский гидрометаллургический комбинат"</t>
  </si>
  <si>
    <t>ОАО "Де-Кастринская ТЭЦ"</t>
  </si>
  <si>
    <t>МУП "Энергетик"</t>
  </si>
  <si>
    <t>ООО «ТЭК «Уссури»</t>
  </si>
  <si>
    <t>Барсуков Анатолий Константинович</t>
  </si>
  <si>
    <t>Индивидуальный предприниматель Гусейнов Рафаэль Адамович</t>
  </si>
  <si>
    <t>Индивидуальный предприниматель Тимофеев  Виктор Николаевич</t>
  </si>
  <si>
    <t>Индивидуальный предприниматель Генцель Ада Александровна</t>
  </si>
  <si>
    <t>Индивидуальный предприниматель Герлиц Андрей Васильевич</t>
  </si>
  <si>
    <t>Индивидуальный Предприниматель Некрасов Игорь Николаевич</t>
  </si>
  <si>
    <t>Индивидуальный предприниматель Приходько Владимир Вениаминович</t>
  </si>
  <si>
    <t>Индивидуальный предприниматель Тиара Ника Александровна</t>
  </si>
  <si>
    <t>Местная религиозная организация христиан веры евангельской (пятидесятников) Церковь Бога живого г. Комсомольска-на-Амуре.</t>
  </si>
  <si>
    <t>Местная религиозная организация Церковь Христиан Веры Евангельской "Есхол"</t>
  </si>
  <si>
    <t>Общество ограниченной ответственности "Агрокомплекс Восток"</t>
  </si>
  <si>
    <t>Индивидуальный предприниматель Акулов Александр Николаевич</t>
  </si>
  <si>
    <t>Общество ограниченной ответственности «Икар»</t>
  </si>
  <si>
    <t>ООО "Комсомольский мясокомбинат"</t>
  </si>
  <si>
    <t>ООО "Нангмар"</t>
  </si>
  <si>
    <t>Общество ограниченной ответственности"Икар"</t>
  </si>
  <si>
    <t>Общество с ограниченной ответственностью "Амурхлеб"</t>
  </si>
  <si>
    <t>ООО "Мебель КНАМ"</t>
  </si>
  <si>
    <t>ИП Карпов Олег Олегович</t>
  </si>
  <si>
    <t>ООО "Саната Плюс"</t>
  </si>
  <si>
    <t>ООО "Региональная управляющая компания" Кувшин</t>
  </si>
  <si>
    <t>Физическое лицо Цымбал Сергей Александрович</t>
  </si>
  <si>
    <t>ГРС Солнечный</t>
  </si>
  <si>
    <t>ГРС Хурба</t>
  </si>
  <si>
    <t>ГРС Эльбан</t>
  </si>
  <si>
    <t>ГРС Амурск</t>
  </si>
  <si>
    <t>ГРС Де-Кастри</t>
  </si>
  <si>
    <t>ГРС Лазарево</t>
  </si>
  <si>
    <t>ГРС Богородское</t>
  </si>
  <si>
    <t>ГРС Ягодный</t>
  </si>
  <si>
    <t>ГРС Бельго</t>
  </si>
  <si>
    <t>Лазаренко Екатерина Алексеевна</t>
  </si>
  <si>
    <t>АИТ ООО (ГРС Владивосток-1) г. Владивосток, ул. Дальзаводская, д. 6, корп. А</t>
  </si>
  <si>
    <t>Общество ограниченной ответственности "Газпром газомоторное топливо"</t>
  </si>
  <si>
    <t>Муниципальное унитарное предприятие "Спецавтохозяйство"</t>
  </si>
  <si>
    <t>ГРС Анненские воды</t>
  </si>
  <si>
    <t>УКФ ООО (ГРС Уссурийск) г. Уссурийск, ул. Раковское шоссе, з. 1</t>
  </si>
  <si>
    <t>Устой-М ООО (п. Крутобереговый) (ГРС-1 Петропавловск-Камчатский) п.Крутобереговый, Елизовское шоссе, д. 15</t>
  </si>
  <si>
    <t>ИП Воробьев А.В. (ТЦ «Глобус») (АГРС-1 г.Петропавловск-Камчатский) г.Петропавловск-Камчатский, ул. Вулканная, д. 59</t>
  </si>
  <si>
    <t>ГРС.Владивосток-1</t>
  </si>
  <si>
    <t>г. Уссурийск</t>
  </si>
  <si>
    <t>г. Спасск-Дальний</t>
  </si>
  <si>
    <t>СП "Хабаровская ТЭЦ-1" г.Хабаровск, ул. Узловая, 15а</t>
  </si>
  <si>
    <t>г. Комсомольск-на-Амуре, ул. Сидоренко, 19 (пекарня)</t>
  </si>
  <si>
    <t>г. Комсомольск-на-Амуре  пр. Победы, 36/1. м-н Мельница.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</si>
  <si>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</si>
  <si>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</si>
  <si>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г. Хабаровск, ул. Промышленная 12Е</t>
  </si>
  <si>
    <t>г. Хабаровск, Воронежское шоссе 1</t>
  </si>
  <si>
    <t>г. Комсомольск-на-Амуре,  ул. Хабаровская, 47 (Гостиница)</t>
  </si>
  <si>
    <t>г. Хабаровск, ул. Крещенская, 2</t>
  </si>
  <si>
    <t>г. Хабаровск, ул. Крещенская, 2/1</t>
  </si>
  <si>
    <t>г. Хабаровск, ул. Быстринская д.19</t>
  </si>
  <si>
    <t>Хабаровский край, г.Хабаровск, ул. Трехгорная, 143</t>
  </si>
  <si>
    <t>Котельная "Некрасовская" Хабаровский район, с.Некрасовка</t>
  </si>
  <si>
    <t>СП "Комсомольская ТЭЦ-2", г. Комсомольск-на-Амуре, Аллея труда, 1</t>
  </si>
  <si>
    <t>СП "Комсомольская ТЭЦ-3", г. Комсомольск-на-Амуре, Северное шоссе, 151</t>
  </si>
  <si>
    <t>В/к "Дземги", г. Комсомольск-на-Амуре, ул. Радищева, 8</t>
  </si>
  <si>
    <t>Хабаровский край, Ульчский район, п. Де-Кастри, ул. Советская, д. 1</t>
  </si>
  <si>
    <t>Хабаровский край, г. Комсомольск-на-Амуре, ул. Ленинградская, 115 ООО «РН-Комсомольский НПЗ»</t>
  </si>
  <si>
    <t>с. Воронежское-3, Кленовая, 5</t>
  </si>
  <si>
    <t>Население ГРС Солнечный</t>
  </si>
  <si>
    <t>Население ГРС Хурба</t>
  </si>
  <si>
    <t>Население ГРС Эльбан</t>
  </si>
  <si>
    <t>СП "Амурская ТЭЦ-1" г.Амурск, Западное шоссе, 10</t>
  </si>
  <si>
    <t>Население ГРС Амурск</t>
  </si>
  <si>
    <t>Население ГРС Де-Кастри</t>
  </si>
  <si>
    <t>СП "Николаевская ТЭЦ" г.Николаевск-на-Амуре, ул. Невельского, 24а</t>
  </si>
  <si>
    <t>Население ГРС Богородское</t>
  </si>
  <si>
    <t>Население ГРС Ягодный</t>
  </si>
  <si>
    <t>Население ГРС Бельго</t>
  </si>
  <si>
    <t>г. Комсомольск-на-Амуре, Океанская ул., южнее микрорайона № 6, 5 го жилого р-на Мылки</t>
  </si>
  <si>
    <t>г.Комсомольск-на-Амуре, ул. Ленина 49, ресторан "Графъ"</t>
  </si>
  <si>
    <t>г. Комсомольск-на-Амуре,  Октябрьский пр., д. 36 магазин "Атланта"</t>
  </si>
  <si>
    <t>г. Комсомольск-на-Амуре, ул. Ленина 19, кафе  «Бистро»</t>
  </si>
  <si>
    <t>г. Комсомольск-на-Амуре,  ул. Кирова 46,</t>
  </si>
  <si>
    <t>г. Комсомольск-на-Амуре, ул. Гамарника 22 (магазин «Белая Русь»)</t>
  </si>
  <si>
    <t>г.Комсомольск-на-Амуре, пр-т  Мира 15 (Гостиница "Амур")</t>
  </si>
  <si>
    <t>г. Хабаровск, ул. Кола Бельды, 1</t>
  </si>
  <si>
    <t>г. Комсомольск-на-Амуре  пр-т Первостроителей, 15, Тепло</t>
  </si>
  <si>
    <t>г. Комсомольск-на-Амуре, пр. Победы  75</t>
  </si>
  <si>
    <t>г. Комсомольск-на-Амуре,  Курская ул., д. 16</t>
  </si>
  <si>
    <t>г. Комсомольск-на-Амуре, ул.  Володарского, д.39</t>
  </si>
  <si>
    <t>г. Комсомольск-на-Амуре, 
ул. Ленинградская, 84</t>
  </si>
  <si>
    <t>г. Комсомольск-на-Амуре , пр-кт Ленина, д.44/1</t>
  </si>
  <si>
    <t>г. Комсомольск-на-Амуре, ул.Гагарина 17/5. Гостиница, 2- этаж</t>
  </si>
  <si>
    <t>г. Комсомольск-на-Амуре, ул. Кирова, д.46</t>
  </si>
  <si>
    <t>Хабаровский край, г Комсомольск-на-Амуре, ул. Советская, д.2 корп. 2 (мини отель "Чайка")</t>
  </si>
  <si>
    <t>г.Комсомольск-на-Амуре, Радищева, д. 3 Мясокомбинат</t>
  </si>
  <si>
    <t>г. Амурск, проспект Строителей, д.72</t>
  </si>
  <si>
    <t>Непубличное акционерное общество «Завод КПД Прогресс»</t>
  </si>
  <si>
    <t>Акционерное общество "Дальневосточная генерирующая компания"</t>
  </si>
  <si>
    <t>ИКС Петропавловск-Камчатский ООО (Котельная № 14 п. Пионерский,             ул. Зеленая, Пионерского сельского поселения)</t>
  </si>
  <si>
    <t>ГРС-2 Петропавловск-Камчатский</t>
  </si>
  <si>
    <t>ГРС-1 Петропавловск-Камчатский</t>
  </si>
  <si>
    <t>ИП Олишевский Вадим Валерьевич</t>
  </si>
  <si>
    <t>п. Солнечный ул.Ленина, д.28 А, Пом. 1 (1-19)</t>
  </si>
  <si>
    <t>г. Комсомольск-на-Амуре ,
ул. Дзержинского, 42/3</t>
  </si>
  <si>
    <t>г. Комсомольск-на-Амуре, ул. Гагарина, 17/5, Лит. А</t>
  </si>
  <si>
    <t>Общество ограниченной ответственности «Хэйлунцзян»</t>
  </si>
  <si>
    <t>ООО "Дальэнергостройиндустрия"</t>
  </si>
  <si>
    <t>Аврора СПГ Владивосток ООО (ГРС Артём) с. Вольно-Надеждинское, тер. ТОР Надеждинская, ул. Центральная, зу 16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</si>
  <si>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</si>
  <si>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</si>
  <si>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</si>
  <si>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</si>
  <si>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Приложение N 4
к приказу ФАС России
от 08.12.2022 N 960/22
Форма 6</t>
  </si>
  <si>
    <t>г. Комсомольск-на-Амуре, ПГСК "Силинский-2"</t>
  </si>
  <si>
    <t>Местная религиозная организация "Хабаровская Евангельско-Христианская Пресвитерианская Церковь"</t>
  </si>
  <si>
    <t>г. Комсомольск-на-Амуре, ул. Красная 18/5 ПГСК "Силинский-2"</t>
  </si>
  <si>
    <t>Хабаровский край, ТОСЭР Хабаровск площадка Ракитное</t>
  </si>
  <si>
    <t>680011, г. Хабаровск, ул. Джамбула, д. 98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</si>
  <si>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</si>
  <si>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Уссурийский бальзам АО (Котельная) (ГРС Уссурийск) г. Уссурийск, ул.Краснознаменная, з. 49</t>
  </si>
  <si>
    <t>Индивидуальный предприниматель Антипова Марина Валентиновна</t>
  </si>
  <si>
    <t>Общество с ограниченной ответственностью "ПромАльп ДВ"</t>
  </si>
  <si>
    <t>ООО "Натали"</t>
  </si>
  <si>
    <t>Индивидуальный предприниматель Опейкин Евгений Валерьевич</t>
  </si>
  <si>
    <t>г. Хабаровск, «Группа жилых домов по Воронежскому шоссе в Краснофлотском районе»</t>
  </si>
  <si>
    <t>г.Комсомольск-на-Амуре, ул.Партизанская, д. 13, офис</t>
  </si>
  <si>
    <t>п. Солнечный ул. Ленина, д.23 А. (Лит А) пом. 2</t>
  </si>
  <si>
    <t>Переяс, Ленина, 43</t>
  </si>
  <si>
    <t>г. Комсомольск-на-Амуре  
Лесная 2 (стоматологическая клиника).</t>
  </si>
  <si>
    <t>ООО «УК Профессиональный сервис»</t>
  </si>
  <si>
    <t>Общество ограниченной ответственности "Альфа-Дент"</t>
  </si>
  <si>
    <t>УПТС АО (Котельная № 72) (ГРС Уссурийск)</t>
  </si>
  <si>
    <t>ТПК ФДВ ООО (ГРС Артём) с. Вольно-Надеждинское, тер. ТОР Надеждинская</t>
  </si>
  <si>
    <t>ГРС Николаевск</t>
  </si>
  <si>
    <t>г. Комсомольск-на-Амуре, Димитрова 11 (кафе)</t>
  </si>
  <si>
    <t>г. Комсомольск-на-Амуре, ул. Кирова, 78</t>
  </si>
  <si>
    <t>Индивидуальный предприниматель Ефимов Андрей Викторович</t>
  </si>
  <si>
    <t>ИП Даниелян Альберт Андраникович</t>
  </si>
  <si>
    <t>г. Хабаровск, ул. Ташкентская, 22</t>
  </si>
  <si>
    <t>Хабаровский р-он, с. Бычиха, ул. Партизанская 18а</t>
  </si>
  <si>
    <t>г. Хабаровск,ул. Суворова, 84а</t>
  </si>
  <si>
    <t>г. Хабаровск, ул. Донская,2б</t>
  </si>
  <si>
    <t>г. Хабаровск, 60-сетия Октября проспект 8</t>
  </si>
  <si>
    <t>г. Хабаровск, 60-сетия Октября проспект, 8</t>
  </si>
  <si>
    <t>Тепловые сети (г. Хабаровск, ул. Мельничная, 27а)</t>
  </si>
  <si>
    <t>Хабаровский р-он, с. Сосновка, ул. Шоссейная, 5</t>
  </si>
  <si>
    <t>Хабаровский р-он, с. Краснореченское, ул. Императорская, 3</t>
  </si>
  <si>
    <t>Хабаровский кр., Хабаровский район, с. Ракитное, проезд Промышленный (Тосэр Хабаровск Площадка Р стр. 1)</t>
  </si>
  <si>
    <t>Хабаровский р-он, с. Бычиха, ул. Строителей, 26</t>
  </si>
  <si>
    <t>г. Хабаровск, ул. Кулибина 3</t>
  </si>
  <si>
    <t>г. Хабаровск, ул. Дикопольцева 12</t>
  </si>
  <si>
    <t>г. Хабаровск , ул. Металистов 24</t>
  </si>
  <si>
    <t>г.Хабаровск,ул.Тихоокеанская,73</t>
  </si>
  <si>
    <t>г. Хабаровск, ул. Чалнинская 17</t>
  </si>
  <si>
    <t>г. Хабаровск, Федоровское шоссе, 12 (заправка)</t>
  </si>
  <si>
    <t>г. Хабаровск, Федоровское шоссе, 12 (завод)</t>
  </si>
  <si>
    <t>г. Хабаровск, ул. Воронежская, 142</t>
  </si>
  <si>
    <t>г. Хабаровск, ул. Шатова, 2/1</t>
  </si>
  <si>
    <t>г. Хабаровск, ул. Героев-Пассаров 10/8</t>
  </si>
  <si>
    <t>г. Хабаровск, ул. Салтыкова-Щедрина, 83</t>
  </si>
  <si>
    <t>г. Хабаровск, ул. Карла-Маркса, 154</t>
  </si>
  <si>
    <t>г. Хабаровск, ул. Карла-Маркса 144/2</t>
  </si>
  <si>
    <t>г. Хабаровск, Воронежское шоссе 1/А</t>
  </si>
  <si>
    <t>г. Хабаровск, ул. Фоломеева 9Б</t>
  </si>
  <si>
    <t>г. Хабаровск, ул. Алексеевская 38Б</t>
  </si>
  <si>
    <t>г. Хабаровск, ул. Александровская 41</t>
  </si>
  <si>
    <t>г. Хабаровск, ул. Александровская 43</t>
  </si>
  <si>
    <t>г. Хабаровск, ул. Воронежское шоссе 3А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</si>
  <si>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</si>
  <si>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</si>
  <si>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</si>
  <si>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>г. Хабаровск, Воронежское шоссе 1/1</t>
  </si>
  <si>
    <t>г. Хабаровск, ул. Быстринская д.19/1</t>
  </si>
  <si>
    <t>г. Хабаровск, ул. Александровская д. 49</t>
  </si>
  <si>
    <t>г. Хабаровск, ул. Воронежское шоссе 3А/1</t>
  </si>
  <si>
    <t>г. Хабаровск,ул.Воронежская,дом.174</t>
  </si>
  <si>
    <t>Комплексная застройка в границах улиц Шатова-Совхозная-Трехгорная в железнодорожном районе г. Хабаровск</t>
  </si>
  <si>
    <t>Хабаровский край, р-н. им. Лазо, рп. Переяславка, ул. Клубная 74</t>
  </si>
  <si>
    <t>"Амурсталь-центр" пос. Переяславка</t>
  </si>
  <si>
    <t>Население ХОР</t>
  </si>
  <si>
    <t>Население Вяземск</t>
  </si>
  <si>
    <t>ООО "Торекс-Хабаровск" (г. Комсомльск-на-Амуре, ул. Вагонная, 30)</t>
  </si>
  <si>
    <t>г. Комсомольск-на-Амуре, Аллея труда, 1</t>
  </si>
  <si>
    <t>Теплоцентраль (г. Комсомольск-на-Амуре, ул. Пугачева, 84)</t>
  </si>
  <si>
    <t>г. Комсомольск-на-Амуре, Северное шоссе, 1</t>
  </si>
  <si>
    <t>г. Комсомольск-на-Амуре, ул. Кирова, 30</t>
  </si>
  <si>
    <t>г. Комсомольск-на-Амуре, ул. Радищева , 2</t>
  </si>
  <si>
    <t>г. Комсомольск-на-Амуре, ул. Сусанина 146</t>
  </si>
  <si>
    <t>г. Комсомольск-на-Амуре, ул. Водонасосная, 1</t>
  </si>
  <si>
    <t>г. Комсомольск-на-Амуре, ул. Литейная, 39</t>
  </si>
  <si>
    <t>г.Комсомольск-на-Амуре, ул.Пугачева 89</t>
  </si>
  <si>
    <t>Население КМС-1</t>
  </si>
  <si>
    <t>"Котельная п. Солнечный" (Солнечный р-н, п Солнечный, промзона)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</si>
  <si>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</si>
  <si>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г. Амурск, шоссе Машиностроителей, д. 5</t>
  </si>
  <si>
    <t>Де-Кастри "ТЭЦ" (Ульчский р-н, п. Де-Кастри, Советская, 3Б)</t>
  </si>
  <si>
    <t>Газопоршневая станция (Николаевский р-н, п. Лазарев, ул. Советская, 4б)</t>
  </si>
  <si>
    <t>Котельная Аэропорт г. Николаевск-на-Амуре, ул. Энтузиастов 2а</t>
  </si>
  <si>
    <t>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</si>
  <si>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Богородское "Котельная" (Ульчский р-н, с. Богородское, ул. Парковая 2-а)</t>
  </si>
  <si>
    <t>Сусанино (Ульчский н-н, с. Анненские минеральные Воды, ул. Центральная, 20 Б)</t>
  </si>
  <si>
    <t>п. Хор, ул. Заводская 17</t>
  </si>
  <si>
    <t>ООО "Энергия"</t>
  </si>
  <si>
    <t>Муниципальное бюджетное учреждение дополнительного образования СШ Юниор г. Вяземского</t>
  </si>
  <si>
    <t>Газпром гелий сервис ООО (Логистический центр обслуживания гелиевых контейнеров (ХАБ) (ГРС Артём) Надеждинский район, с. Вольно-Надеждинское, территория ТОР «Надеждинская»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</si>
  <si>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</si>
  <si>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Велес-Снек ООО (ГРС Артём) с.Вольно-Надеждинское, тер. ТОР Надеждинская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</si>
  <si>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</si>
  <si>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</si>
  <si>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ДГК АО  (ГРС-1 г. Владивосток ГТУ-ТЭЦ на площадке ЦПВБ г. Владивостокфилиала «Приморская генерация») г. Владивосток, ул. Снеговая, д.22</t>
  </si>
  <si>
    <t>УПТС АО (Котельная № Раковского) (ГРС Уссурийск) г. Уссурийск,  ул. Московская д. 13</t>
  </si>
  <si>
    <t>ИКС поселок Новый ООО (Котельная 15) (ГРС Артем) Надеждинский район, п.Новый, ул. Молодежная, д. 1А</t>
  </si>
  <si>
    <t>Русский минтай ООО (ГРС Артём) с. Вольно-Надеждинское, , тер. ТОР Надеждинская, ул.Центральная, соор.27</t>
  </si>
  <si>
    <t>Примтеплоэнерго КГУП (Котельная №42 с. Летно-Хвалынское)) (ГРССпасск-Дальнийь) Лётно-Хвалынское, ул. Первомайская зд.2б</t>
  </si>
  <si>
    <t>ИКС-Фокино ООО (Котельная 1) (ГРС Большой Камень) г. Фокино, ул. Заводская, д.24</t>
  </si>
  <si>
    <t>Желдорреммаш АО (Котельня Уссурийского ЛР) (ГРС Уссурийск) г. Уссурийск, пр-кт Блюхера, д.19</t>
  </si>
  <si>
    <t>ЖСК Остров (3-я очередь) (ГРС Владивосток-1) г. Владивосток, остров Русский (в границах ЗУ 25:28:060109:785)</t>
  </si>
  <si>
    <t>Население ХБР1</t>
  </si>
  <si>
    <t>Население ХБР3</t>
  </si>
  <si>
    <t>К.Маркса, 144Б</t>
  </si>
  <si>
    <t>ООО Торговый дом "Золотая Русь"</t>
  </si>
  <si>
    <t>г. Владивосток</t>
  </si>
  <si>
    <t>ГРС Владивосток-1</t>
  </si>
  <si>
    <t>ДСК Приморье ООО (ГРС Артём) с. Вольно-Надеждинское, тер. ТОР Надеждинская, кадастр. номер ЗУ 25:10:011500:609</t>
  </si>
  <si>
    <t>г. Комсомольск-на-Амуре, ул. Советская 1 (территория Кнаапо)</t>
  </si>
  <si>
    <t>Тепловик+</t>
  </si>
  <si>
    <t>г. Комсомольск-на-Амуре, Мемориальный комплекс погибшим участникам ВОВ в 1941-1945 гг.», расположенный по ул. Набережной р. Амур</t>
  </si>
  <si>
    <t>Хабаровский край, г. Вяземский,, ул. Лазо, д.50</t>
  </si>
  <si>
    <t>ООО "Управляющая компания "Территория уюта Юникей"</t>
  </si>
  <si>
    <t>ООО "Тепловик+"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</si>
  <si>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</si>
  <si>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ЦРО «Союз Пресвитерианских церквей Хабаровского края»</t>
  </si>
  <si>
    <t>ХБР1</t>
  </si>
  <si>
    <t>ХБР3</t>
  </si>
  <si>
    <t>КМС-1</t>
  </si>
  <si>
    <t>ХБР5</t>
  </si>
  <si>
    <t>ХОР</t>
  </si>
  <si>
    <t>Вяземск</t>
  </si>
  <si>
    <t>Общество ограниченной ответственности  «Сеул»</t>
  </si>
  <si>
    <t>г. Комсомольск-на-Амуре  пр-т Первостроителей, 31, литер Б</t>
  </si>
  <si>
    <t>Точка подключения: п. Хор, ул. Железнодорожная 71-А (Мебель маркет)</t>
  </si>
  <si>
    <t>Собственные нужды Котельная Брестская 51</t>
  </si>
  <si>
    <t>Собственные нужды</t>
  </si>
  <si>
    <t>МУП УМР "Циммермановское ЖКХ"</t>
  </si>
  <si>
    <t>650</t>
  </si>
  <si>
    <t>651</t>
  </si>
  <si>
    <t>652</t>
  </si>
  <si>
    <t>"ДЭС" Циммермановка (Ульчский р-н, п. Циммермановка, ул. Железнодорожная 2)</t>
  </si>
  <si>
    <t>0 гр.</t>
  </si>
  <si>
    <t>ГРС Цимермановка</t>
  </si>
  <si>
    <t>Итого</t>
  </si>
  <si>
    <t>ЖСК Остров (5-я очередь) 
(ГРС Владивосток-1)</t>
  </si>
  <si>
    <t>ЖСК Остров (1-я очередь МКД)
 (ГРС Владивосток-1)</t>
  </si>
  <si>
    <t>г. Уссурийск
(Управляющие компании)</t>
  </si>
  <si>
    <t>ГРС Свободный</t>
  </si>
  <si>
    <t>ГРС Соболево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</si>
  <si>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</si>
  <si>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</si>
  <si>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</si>
  <si>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</si>
  <si>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</si>
  <si>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</si>
  <si>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</si>
  <si>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</si>
  <si>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</si>
  <si>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</si>
  <si>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</si>
  <si>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ИП Ю С.Ю.</t>
  </si>
  <si>
    <t>ИП Воробьев А.В.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</si>
  <si>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</si>
  <si>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</si>
  <si>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</si>
  <si>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</si>
  <si>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</si>
  <si>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 xml:space="preserve">РУСАГРО-ПРИМОРЬЕ ООО (ЦТФ и МПП) (ГРС Уссурийск) 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</si>
  <si>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</si>
  <si>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</si>
  <si>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</si>
  <si>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</si>
  <si>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</si>
  <si>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г. Елизово</t>
  </si>
  <si>
    <t>с. Соболево</t>
  </si>
  <si>
    <t>АО "ДГК"</t>
  </si>
  <si>
    <t>ООО «АИТ»</t>
  </si>
  <si>
    <t>ДВФУ</t>
  </si>
  <si>
    <t>АО "ДВЭУК - ГенерацияСети"</t>
  </si>
  <si>
    <t>АО "Кислород"</t>
  </si>
  <si>
    <t>АО «УПТС»</t>
  </si>
  <si>
    <t>АО ББР Банк</t>
  </si>
  <si>
    <t>ООО «Энергия»</t>
  </si>
  <si>
    <t>ООО "РУСАГРО-ПРИМОРЬЕ"</t>
  </si>
  <si>
    <t>ООО Газпром гелий сервис</t>
  </si>
  <si>
    <t>ООО "ССК "Звезда"</t>
  </si>
  <si>
    <t>ООО «ИСТ-ФАРМ»</t>
  </si>
  <si>
    <t xml:space="preserve">ООО «Русский минтай» </t>
  </si>
  <si>
    <t>ООО "Аврора СПГ"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</si>
  <si>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</si>
  <si>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</si>
  <si>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</si>
  <si>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</si>
  <si>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>ООО "ДКС ПРИМОРЬЕ"</t>
  </si>
  <si>
    <t>АО "Желдорреммаш"</t>
  </si>
  <si>
    <t>АО "Уссрийский бальзам"</t>
  </si>
  <si>
    <t>Детский сад № 1 г. Уссурийска МБДОУ</t>
  </si>
  <si>
    <t>ООО "ТПК ФДВ"</t>
  </si>
  <si>
    <t>ЖСК "Остров"</t>
  </si>
  <si>
    <t xml:space="preserve">ООО «Велес-Снек» </t>
  </si>
  <si>
    <t xml:space="preserve">ООО «ДСК Приморье» </t>
  </si>
  <si>
    <t>ООО «НК Лотос»</t>
  </si>
  <si>
    <t>ИКС поселок Новый ООО</t>
  </si>
  <si>
    <t>ТЕПЛОИНВЕСТ ООО</t>
  </si>
  <si>
    <t>ТЕПЛОИНВЕСТ ООО (котельная жил. мкр. АГПЗ) (ГРС Свободный)</t>
  </si>
  <si>
    <t>Индивидуальный предприниматель Бенда Владимир Андреевич</t>
  </si>
  <si>
    <t>ООО Завод ЖБИ-5</t>
  </si>
  <si>
    <t>Краевое государственное автономное учреждение дополнительного образования Спортивная школа «Хабаровский краевой центр развития хоккея «Амур»</t>
  </si>
  <si>
    <t>Общество с ограниченной ответственностью «Лоза»</t>
  </si>
  <si>
    <t>ООО "Ресурсавтогаз"</t>
  </si>
  <si>
    <t>ООО "Комсомольский НПЗ" Поставка газа ИНН 2703032881</t>
  </si>
  <si>
    <t>Автономная некоммерческая организация центр восстановления и развития личности "Зеленый Светофор"</t>
  </si>
  <si>
    <t>Индивидуальный предприниматель Манькова Александра Николаевна</t>
  </si>
  <si>
    <t>Местная религиозная организация "Объединенная методистская церковь "Славная" г. Комсомольск-на-Амуре</t>
  </si>
  <si>
    <t>Местная религиозная организация мусульман «Нур» Духовного управления мусульман Азиатской части России</t>
  </si>
  <si>
    <t>Индвидуальный предприниматель Алмарданов Абдулла Олимжон Угли</t>
  </si>
  <si>
    <t>ООО "Торговый комплекс "Универсам"</t>
  </si>
  <si>
    <t>ООО «Первый ЖБИ» Стеллар</t>
  </si>
  <si>
    <t>г. Хабаровск, пер. Алеутский, д. 3а</t>
  </si>
  <si>
    <t>г. Хабаровск, ул. Целинная, д. 2 В</t>
  </si>
  <si>
    <t>СП "Хабаровская ТЭЦ-2" г.Хабаровск, пер. Сормовский, 1</t>
  </si>
  <si>
    <t>г. Хабаровск, ул. Уборевича 79А газовая котельная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</si>
  <si>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</si>
  <si>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г. Вяземский, ул. Коммунистическая, 10</t>
  </si>
  <si>
    <t>г. Комсомольск-на-Амуре ул. Ленинградская, 115</t>
  </si>
  <si>
    <t>Точка подключения Кнаапо</t>
  </si>
  <si>
    <t>Население ГРС Николаевск</t>
  </si>
  <si>
    <t>г. Комсомольск-на-Амуре, пр. Московский, д.30, корп.2, кв. 1</t>
  </si>
  <si>
    <t>п. Солнечный, ул. Лесная, 7Л</t>
  </si>
  <si>
    <t>г. Комсомольск-на-Амуре, ул.Курская, д.9</t>
  </si>
  <si>
    <t>г. Комсомольск-на-Амуре, Комсомольское шоссе, д. 3</t>
  </si>
  <si>
    <t>г. Комсомольск-на-Амуре, пр. Ленина, 17 , пом. 1003</t>
  </si>
  <si>
    <t>Отопление ГРП Завод строительной керамики</t>
  </si>
  <si>
    <t>Хабаровский р-н, с. Виноградовка, ул. Юбилейная д. 7-А</t>
  </si>
  <si>
    <t>32 гр.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</si>
  <si>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за АВГУСТ 2024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</si>
</sst>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[$-419]mmmm\ yyyy;@"/>
    <numFmt numFmtId="170" formatCode="_-* #,##0.000\ _₽_-;\-* #,##0.000\ _₽_-;_-* &quot;-&quot;???\ _₽_-;_-@_-"/>
    <numFmt numFmtId="171" formatCode="0.000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9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0" fontId="1" fillId="0" borderId="0"/>
    <xf numFmtId="0" fontId="1" fillId="0" borderId="0"/>
    <xf numFmtId="43" fontId="21" fillId="0" borderId="0" applyFont="0" applyFill="0" applyBorder="0" applyAlignment="0" applyProtection="0"/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98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169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49" fontId="26" fillId="21" borderId="0" xfId="66" applyFont="1" applyFill="1" applyBorder="1" applyAlignment="1">
      <alignment horizontal="center" vertical="center" wrapText="1"/>
      <protection locked="0"/>
    </xf>
    <xf numFmtId="0" fontId="0" fillId="21" borderId="3" xfId="0" applyFill="1" applyBorder="1"/>
    <xf numFmtId="0" fontId="25" fillId="21" borderId="0" xfId="0" applyFont="1" applyFill="1" applyBorder="1" applyAlignment="1">
      <alignment horizontal="center" vertical="center"/>
    </xf>
    <xf numFmtId="0" fontId="3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Border="1"/>
    <xf numFmtId="0" fontId="22" fillId="21" borderId="0" xfId="0" applyFont="1" applyFill="1"/>
    <xf numFmtId="168" fontId="25" fillId="21" borderId="3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168" fontId="3" fillId="21" borderId="3" xfId="46" applyNumberFormat="1" applyFont="1" applyFill="1" applyBorder="1" applyAlignment="1">
      <alignment horizontal="center" vertical="center" wrapText="1"/>
    </xf>
    <xf numFmtId="0" fontId="24" fillId="21" borderId="0" xfId="0" applyFont="1" applyFill="1" applyAlignment="1"/>
    <xf numFmtId="0" fontId="0" fillId="21" borderId="0" xfId="0" applyFont="1" applyFill="1"/>
    <xf numFmtId="170" fontId="0" fillId="21" borderId="0" xfId="0" applyNumberFormat="1" applyFont="1" applyFill="1"/>
    <xf numFmtId="168" fontId="25" fillId="21" borderId="0" xfId="0" applyNumberFormat="1" applyFont="1" applyFill="1" applyBorder="1" applyAlignment="1">
      <alignment horizontal="center" vertical="center"/>
    </xf>
    <xf numFmtId="168" fontId="0" fillId="0" borderId="7" xfId="0" applyNumberFormat="1" applyFill="1" applyBorder="1"/>
    <xf numFmtId="0" fontId="0" fillId="21" borderId="3" xfId="0" applyFill="1" applyBorder="1" applyAlignment="1">
      <alignment horizontal="center" vertical="center"/>
    </xf>
    <xf numFmtId="0" fontId="0" fillId="21" borderId="3" xfId="0" applyFill="1" applyBorder="1" applyAlignment="1">
      <alignment vertical="center"/>
    </xf>
    <xf numFmtId="0" fontId="25" fillId="21" borderId="3" xfId="0" applyFont="1" applyFill="1" applyBorder="1"/>
    <xf numFmtId="165" fontId="25" fillId="21" borderId="3" xfId="0" applyNumberFormat="1" applyFont="1" applyFill="1" applyBorder="1" applyAlignment="1">
      <alignment horizontal="center"/>
    </xf>
    <xf numFmtId="168" fontId="25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>
      <alignment horizontal="center" vertical="center" wrapText="1"/>
      <protection locked="0"/>
    </xf>
    <xf numFmtId="49" fontId="3" fillId="0" borderId="3" xfId="66" applyFont="1" applyFill="1" applyBorder="1" applyAlignment="1">
      <alignment horizontal="center" vertical="center" wrapText="1"/>
      <protection locked="0"/>
    </xf>
    <xf numFmtId="49" fontId="25" fillId="0" borderId="3" xfId="66" applyFont="1" applyFill="1" applyAlignment="1">
      <alignment horizontal="center" vertical="center" wrapText="1"/>
      <protection locked="0"/>
    </xf>
    <xf numFmtId="49" fontId="3" fillId="0" borderId="4" xfId="66" applyFont="1" applyFill="1" applyBorder="1" applyAlignment="1">
      <alignment horizontal="center" vertical="center" wrapText="1"/>
      <protection locked="0"/>
    </xf>
    <xf numFmtId="49" fontId="25" fillId="0" borderId="3" xfId="0" applyNumberFormat="1" applyFont="1" applyFill="1" applyBorder="1" applyAlignment="1">
      <alignment horizontal="center" vertical="center" wrapText="1"/>
    </xf>
    <xf numFmtId="168" fontId="0" fillId="21" borderId="0" xfId="0" applyNumberFormat="1" applyFill="1"/>
    <xf numFmtId="171" fontId="0" fillId="21" borderId="0" xfId="0" applyNumberFormat="1" applyFill="1"/>
    <xf numFmtId="0" fontId="25" fillId="0" borderId="3" xfId="0" applyFont="1" applyFill="1" applyBorder="1" applyAlignment="1">
      <alignment horizontal="right"/>
    </xf>
    <xf numFmtId="0" fontId="28" fillId="0" borderId="0" xfId="0" applyFont="1" applyFill="1"/>
    <xf numFmtId="0" fontId="28" fillId="0" borderId="7" xfId="0" applyFont="1" applyFill="1" applyBorder="1"/>
    <xf numFmtId="0" fontId="28" fillId="0" borderId="0" xfId="0" applyFont="1" applyFill="1" applyAlignment="1">
      <alignment vertical="center"/>
    </xf>
    <xf numFmtId="169" fontId="25" fillId="0" borderId="0" xfId="0" applyNumberFormat="1" applyFont="1" applyFill="1" applyAlignment="1">
      <alignment horizontal="center" vertical="center"/>
    </xf>
    <xf numFmtId="0" fontId="28" fillId="0" borderId="8" xfId="0" applyFont="1" applyFill="1" applyBorder="1"/>
    <xf numFmtId="168" fontId="28" fillId="0" borderId="8" xfId="0" applyNumberFormat="1" applyFont="1" applyFill="1" applyBorder="1"/>
    <xf numFmtId="168" fontId="25" fillId="0" borderId="3" xfId="0" applyNumberFormat="1" applyFont="1" applyFill="1" applyBorder="1" applyAlignment="1">
      <alignment horizontal="left" vertical="center" wrapText="1"/>
    </xf>
    <xf numFmtId="49" fontId="25" fillId="0" borderId="3" xfId="66" applyFont="1" applyFill="1" applyAlignment="1" applyProtection="1">
      <alignment horizontal="left" vertical="center" wrapText="1"/>
      <protection locked="0"/>
    </xf>
    <xf numFmtId="0" fontId="28" fillId="0" borderId="3" xfId="0" applyFont="1" applyFill="1" applyBorder="1"/>
    <xf numFmtId="168" fontId="28" fillId="0" borderId="3" xfId="0" applyNumberFormat="1" applyFont="1" applyFill="1" applyBorder="1"/>
    <xf numFmtId="0" fontId="28" fillId="0" borderId="3" xfId="0" applyFont="1" applyFill="1" applyBorder="1" applyAlignment="1">
      <alignment vertical="center"/>
    </xf>
    <xf numFmtId="0" fontId="27" fillId="0" borderId="3" xfId="46" applyFont="1" applyFill="1" applyBorder="1" applyAlignment="1">
      <alignment horizontal="center" vertical="center" wrapText="1"/>
    </xf>
    <xf numFmtId="0" fontId="25" fillId="0" borderId="3" xfId="46" applyFont="1" applyFill="1" applyBorder="1" applyAlignment="1">
      <alignment horizontal="center" vertical="center" wrapText="1"/>
    </xf>
    <xf numFmtId="168" fontId="25" fillId="0" borderId="3" xfId="77" applyNumberFormat="1" applyFont="1" applyFill="1" applyBorder="1" applyAlignment="1">
      <alignment horizontal="center" vertical="center" wrapText="1"/>
      <protection locked="0"/>
    </xf>
    <xf numFmtId="168" fontId="25" fillId="0" borderId="3" xfId="46" applyNumberFormat="1" applyFont="1" applyFill="1" applyBorder="1" applyAlignment="1">
      <alignment horizontal="center" vertical="center" wrapText="1"/>
    </xf>
    <xf numFmtId="165" fontId="25" fillId="0" borderId="3" xfId="0" applyNumberFormat="1" applyFont="1" applyFill="1" applyBorder="1" applyAlignment="1">
      <alignment horizontal="center" vertical="center" wrapText="1"/>
    </xf>
    <xf numFmtId="165" fontId="25" fillId="0" borderId="4" xfId="76" applyNumberFormat="1" applyFont="1" applyFill="1" applyBorder="1" applyAlignment="1">
      <alignment horizontal="center" vertical="center" wrapText="1"/>
      <protection locked="0"/>
    </xf>
    <xf numFmtId="0" fontId="0" fillId="0" borderId="0" xfId="0" applyFill="1"/>
    <xf numFmtId="0" fontId="0" fillId="0" borderId="0" xfId="0" applyFill="1" applyAlignment="1">
      <alignment vertical="center"/>
    </xf>
    <xf numFmtId="169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/>
    <xf numFmtId="165" fontId="25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49" fontId="3" fillId="0" borderId="3" xfId="66" applyFont="1" applyFill="1" applyAlignment="1">
      <alignment horizontal="center" vertical="center" wrapText="1"/>
      <protection locked="0"/>
    </xf>
    <xf numFmtId="0" fontId="28" fillId="0" borderId="3" xfId="0" applyFont="1" applyFill="1" applyBorder="1" applyAlignment="1">
      <alignment horizontal="center"/>
    </xf>
    <xf numFmtId="49" fontId="25" fillId="0" borderId="3" xfId="66" applyFont="1" applyFill="1" applyAlignment="1">
      <alignment horizontal="left" vertical="center" wrapText="1"/>
      <protection locked="0"/>
    </xf>
    <xf numFmtId="49" fontId="3" fillId="0" borderId="3" xfId="66" applyFont="1" applyFill="1" applyAlignment="1">
      <alignment horizontal="left" vertical="center" wrapText="1"/>
      <protection locked="0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>
      <alignment horizontal="left" vertical="center" wrapText="1"/>
    </xf>
    <xf numFmtId="49" fontId="3" fillId="0" borderId="3" xfId="66" applyFont="1" applyFill="1" applyAlignment="1" applyProtection="1">
      <alignment horizontal="left" vertical="center" wrapText="1"/>
      <protection locked="0"/>
    </xf>
    <xf numFmtId="49" fontId="3" fillId="0" borderId="3" xfId="76" applyFont="1" applyFill="1" applyAlignment="1" applyProtection="1">
      <alignment horizontal="left" vertical="center" wrapText="1"/>
      <protection locked="0"/>
    </xf>
    <xf numFmtId="49" fontId="25" fillId="0" borderId="3" xfId="76" applyFont="1" applyFill="1" applyAlignment="1" applyProtection="1">
      <alignment horizontal="left" vertical="center" wrapText="1"/>
      <protection locked="0"/>
    </xf>
    <xf numFmtId="168" fontId="3" fillId="21" borderId="3" xfId="0" applyNumberFormat="1" applyFont="1" applyFill="1" applyBorder="1" applyAlignment="1">
      <alignment horizontal="left" vertical="center" wrapText="1"/>
    </xf>
    <xf numFmtId="49" fontId="25" fillId="21" borderId="3" xfId="68" applyFont="1" applyFill="1" applyAlignment="1" applyProtection="1">
      <alignment horizontal="left" vertical="center" wrapText="1"/>
      <protection locked="0"/>
    </xf>
    <xf numFmtId="168" fontId="25" fillId="21" borderId="3" xfId="0" applyNumberFormat="1" applyFont="1" applyFill="1" applyBorder="1" applyAlignment="1">
      <alignment horizontal="left" vertical="center" wrapText="1"/>
    </xf>
    <xf numFmtId="49" fontId="3" fillId="21" borderId="3" xfId="68" applyFont="1" applyFill="1" applyAlignment="1" applyProtection="1">
      <alignment horizontal="left" vertical="center" wrapText="1"/>
      <protection locked="0"/>
    </xf>
    <xf numFmtId="49" fontId="25" fillId="21" borderId="3" xfId="68" applyFont="1" applyFill="1" applyBorder="1" applyAlignment="1" applyProtection="1">
      <alignment horizontal="left" vertical="center" wrapText="1"/>
      <protection locked="0"/>
    </xf>
    <xf numFmtId="49" fontId="25" fillId="0" borderId="3" xfId="0" applyNumberFormat="1" applyFont="1" applyFill="1" applyBorder="1" applyAlignment="1">
      <alignment horizontal="left" vertical="center" wrapText="1"/>
    </xf>
    <xf numFmtId="165" fontId="3" fillId="0" borderId="3" xfId="46" applyNumberFormat="1" applyFont="1" applyFill="1" applyBorder="1" applyAlignment="1">
      <alignment horizontal="center" vertical="center" wrapText="1"/>
    </xf>
    <xf numFmtId="49" fontId="25" fillId="0" borderId="4" xfId="66" applyFont="1" applyBorder="1" applyAlignment="1" applyProtection="1">
      <alignment horizontal="left" vertical="center" wrapText="1"/>
      <protection locked="0"/>
    </xf>
    <xf numFmtId="49" fontId="25" fillId="21" borderId="3" xfId="66" applyFont="1" applyFill="1" applyAlignment="1">
      <alignment horizontal="left" vertical="center" wrapText="1"/>
      <protection locked="0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/>
    </xf>
    <xf numFmtId="0" fontId="25" fillId="0" borderId="7" xfId="0" applyFont="1" applyFill="1" applyBorder="1" applyAlignment="1">
      <alignment horizontal="center" vertical="center" wrapText="1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</cellXfs>
  <cellStyles count="79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 5" xfId="73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Обычный 8 2" xfId="74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6"/>
    <cellStyle name="Текст признаков 2 2 2 2" xfId="78"/>
    <cellStyle name="Текст признаков 3" xfId="68"/>
    <cellStyle name="Текст признаков 5" xfId="77"/>
    <cellStyle name="Текст таблицы" xfId="69"/>
    <cellStyle name="Финансовый 2" xfId="70"/>
    <cellStyle name="Финансовый 3" xfId="75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0"/>
  <sheetViews>
    <sheetView view="pageBreakPreview" zoomScale="90" zoomScaleNormal="100" zoomScaleSheetLayoutView="90" workbookViewId="0">
      <pane ySplit="11" topLeftCell="A12" activePane="bottomLeft" state="frozen"/>
      <selection pane="bottomLeft" activeCell="A9" sqref="A9"/>
    </sheetView>
  </sheetViews>
  <sheetFormatPr defaultColWidth="9.140625" defaultRowHeight="15" x14ac:dyDescent="0.25"/>
  <cols>
    <col min="1" max="1" width="24.42578125" style="4" customWidth="1"/>
    <col min="2" max="3" width="45.28515625" style="4" customWidth="1"/>
    <col min="4" max="4" width="13.7109375" style="4" customWidth="1"/>
    <col min="5" max="6" width="18.140625" style="4" customWidth="1"/>
    <col min="7" max="7" width="20.140625" style="8" customWidth="1"/>
    <col min="8" max="8" width="10.5703125" style="4" bestFit="1" customWidth="1"/>
    <col min="9" max="16384" width="9.140625" style="4"/>
  </cols>
  <sheetData>
    <row r="1" spans="1:7" x14ac:dyDescent="0.25">
      <c r="A1" s="62"/>
      <c r="B1" s="62"/>
      <c r="C1" s="11"/>
      <c r="D1" s="11"/>
      <c r="E1" s="11"/>
      <c r="F1" s="87" t="s">
        <v>210</v>
      </c>
      <c r="G1" s="88"/>
    </row>
    <row r="2" spans="1:7" ht="15" customHeight="1" x14ac:dyDescent="0.25">
      <c r="A2" s="62"/>
      <c r="B2" s="62"/>
      <c r="C2" s="89" t="s">
        <v>440</v>
      </c>
      <c r="D2" s="89"/>
      <c r="E2" s="89"/>
      <c r="F2" s="88"/>
      <c r="G2" s="88"/>
    </row>
    <row r="3" spans="1:7" ht="15" customHeight="1" x14ac:dyDescent="0.25">
      <c r="A3" s="62"/>
      <c r="B3" s="62"/>
      <c r="C3" s="89"/>
      <c r="D3" s="89"/>
      <c r="E3" s="89"/>
      <c r="F3" s="88"/>
      <c r="G3" s="88"/>
    </row>
    <row r="4" spans="1:7" ht="15" customHeight="1" x14ac:dyDescent="0.25">
      <c r="A4" s="62"/>
      <c r="B4" s="62"/>
      <c r="C4" s="89"/>
      <c r="D4" s="89"/>
      <c r="E4" s="89"/>
      <c r="F4" s="88"/>
      <c r="G4" s="88"/>
    </row>
    <row r="5" spans="1:7" ht="15" customHeight="1" x14ac:dyDescent="0.25">
      <c r="A5" s="62"/>
      <c r="B5" s="62"/>
      <c r="C5" s="89"/>
      <c r="D5" s="89"/>
      <c r="E5" s="89"/>
      <c r="F5" s="88"/>
      <c r="G5" s="88"/>
    </row>
    <row r="6" spans="1:7" ht="15" customHeight="1" x14ac:dyDescent="0.25">
      <c r="A6" s="62"/>
      <c r="B6" s="62"/>
      <c r="C6" s="89"/>
      <c r="D6" s="89"/>
      <c r="E6" s="89"/>
      <c r="F6" s="62"/>
      <c r="G6" s="63"/>
    </row>
    <row r="7" spans="1:7" ht="15" customHeight="1" x14ac:dyDescent="0.25">
      <c r="A7" s="62"/>
      <c r="B7" s="62"/>
      <c r="C7" s="89"/>
      <c r="D7" s="89"/>
      <c r="E7" s="89"/>
      <c r="F7" s="62"/>
      <c r="G7" s="63"/>
    </row>
    <row r="8" spans="1:7" x14ac:dyDescent="0.25">
      <c r="A8" s="64">
        <v>45535</v>
      </c>
      <c r="B8" s="62"/>
      <c r="C8" s="11"/>
      <c r="D8" s="11"/>
      <c r="E8" s="11"/>
      <c r="F8" s="62"/>
      <c r="G8" s="63"/>
    </row>
    <row r="9" spans="1:7" x14ac:dyDescent="0.25">
      <c r="A9" s="62"/>
      <c r="B9" s="62"/>
      <c r="C9" s="11"/>
      <c r="D9" s="11"/>
      <c r="E9" s="30">
        <f>SUBTOTAL(9,E12:E64)*1000</f>
        <v>106770.38299999999</v>
      </c>
      <c r="F9" s="30">
        <f>SUBTOTAL(9,F12:F64)*1000</f>
        <v>94151.478999999978</v>
      </c>
      <c r="G9" s="65"/>
    </row>
    <row r="10" spans="1:7" ht="42" x14ac:dyDescent="0.25">
      <c r="A10" s="10" t="s">
        <v>3</v>
      </c>
      <c r="B10" s="10" t="s">
        <v>4</v>
      </c>
      <c r="C10" s="10" t="s">
        <v>5</v>
      </c>
      <c r="D10" s="10" t="s">
        <v>6</v>
      </c>
      <c r="E10" s="10" t="s">
        <v>0</v>
      </c>
      <c r="F10" s="10" t="s">
        <v>1</v>
      </c>
      <c r="G10" s="10" t="s">
        <v>2</v>
      </c>
    </row>
    <row r="11" spans="1:7" x14ac:dyDescent="0.2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</row>
    <row r="12" spans="1:7" ht="33.75" x14ac:dyDescent="0.25">
      <c r="A12" s="36" t="s">
        <v>143</v>
      </c>
      <c r="B12" s="70" t="s">
        <v>19</v>
      </c>
      <c r="C12" s="51" t="s">
        <v>380</v>
      </c>
      <c r="D12" s="37" t="s">
        <v>12</v>
      </c>
      <c r="E12" s="35">
        <f>65038/1000</f>
        <v>65.037999999999997</v>
      </c>
      <c r="F12" s="66">
        <f>62395.664/1000</f>
        <v>62.395663999999996</v>
      </c>
      <c r="G12" s="35">
        <f t="shared" ref="G12:G64" si="0">E12-F12</f>
        <v>2.6423360000000002</v>
      </c>
    </row>
    <row r="13" spans="1:7" ht="33.75" x14ac:dyDescent="0.25">
      <c r="A13" s="36" t="s">
        <v>143</v>
      </c>
      <c r="B13" s="70" t="s">
        <v>20</v>
      </c>
      <c r="C13" s="51" t="s">
        <v>380</v>
      </c>
      <c r="D13" s="37" t="s">
        <v>13</v>
      </c>
      <c r="E13" s="35">
        <f>2800/1000</f>
        <v>2.8</v>
      </c>
      <c r="F13" s="66">
        <f>265.717/1000</f>
        <v>0.26571699999999998</v>
      </c>
      <c r="G13" s="35">
        <f t="shared" si="0"/>
        <v>2.5342829999999998</v>
      </c>
    </row>
    <row r="14" spans="1:7" ht="33.75" x14ac:dyDescent="0.25">
      <c r="A14" s="36" t="s">
        <v>143</v>
      </c>
      <c r="B14" s="70" t="s">
        <v>21</v>
      </c>
      <c r="C14" s="78" t="s">
        <v>383</v>
      </c>
      <c r="D14" s="38" t="s">
        <v>14</v>
      </c>
      <c r="E14" s="35">
        <f>5600/1000</f>
        <v>5.6</v>
      </c>
      <c r="F14" s="66">
        <f>4004.605/1000</f>
        <v>4.0046049999999997</v>
      </c>
      <c r="G14" s="35">
        <f t="shared" si="0"/>
        <v>1.5953949999999999</v>
      </c>
    </row>
    <row r="15" spans="1:7" ht="33.75" x14ac:dyDescent="0.25">
      <c r="A15" s="36" t="s">
        <v>143</v>
      </c>
      <c r="B15" s="70" t="s">
        <v>307</v>
      </c>
      <c r="C15" s="79" t="s">
        <v>385</v>
      </c>
      <c r="D15" s="38" t="s">
        <v>14</v>
      </c>
      <c r="E15" s="35">
        <f>3040/1000</f>
        <v>3.04</v>
      </c>
      <c r="F15" s="66">
        <f>2012.563/1000</f>
        <v>2.0125630000000001</v>
      </c>
      <c r="G15" s="35">
        <f t="shared" si="0"/>
        <v>1.0274369999999999</v>
      </c>
    </row>
    <row r="16" spans="1:7" ht="22.5" x14ac:dyDescent="0.25">
      <c r="A16" s="36" t="s">
        <v>143</v>
      </c>
      <c r="B16" s="70" t="s">
        <v>136</v>
      </c>
      <c r="C16" s="51" t="s">
        <v>381</v>
      </c>
      <c r="D16" s="39" t="s">
        <v>15</v>
      </c>
      <c r="E16" s="35">
        <f>17/1000</f>
        <v>1.7000000000000001E-2</v>
      </c>
      <c r="F16" s="66">
        <f>0.803/1000</f>
        <v>8.03E-4</v>
      </c>
      <c r="G16" s="35">
        <f t="shared" si="0"/>
        <v>1.6197E-2</v>
      </c>
    </row>
    <row r="17" spans="1:7" ht="33.75" x14ac:dyDescent="0.25">
      <c r="A17" s="36" t="s">
        <v>143</v>
      </c>
      <c r="B17" s="70" t="s">
        <v>24</v>
      </c>
      <c r="C17" s="80" t="s">
        <v>382</v>
      </c>
      <c r="D17" s="39" t="s">
        <v>15</v>
      </c>
      <c r="E17" s="35">
        <f>0/1000</f>
        <v>0</v>
      </c>
      <c r="F17" s="66">
        <f>0/1000</f>
        <v>0</v>
      </c>
      <c r="G17" s="35">
        <f t="shared" si="0"/>
        <v>0</v>
      </c>
    </row>
    <row r="18" spans="1:7" ht="22.5" x14ac:dyDescent="0.25">
      <c r="A18" s="36" t="s">
        <v>143</v>
      </c>
      <c r="B18" s="71" t="s">
        <v>41</v>
      </c>
      <c r="C18" s="78" t="s">
        <v>383</v>
      </c>
      <c r="D18" s="39" t="s">
        <v>18</v>
      </c>
      <c r="E18" s="35">
        <f>0/1000</f>
        <v>0</v>
      </c>
      <c r="F18" s="66">
        <f>0/1000</f>
        <v>0</v>
      </c>
      <c r="G18" s="35">
        <f t="shared" si="0"/>
        <v>0</v>
      </c>
    </row>
    <row r="19" spans="1:7" ht="22.5" x14ac:dyDescent="0.25">
      <c r="A19" s="36" t="s">
        <v>143</v>
      </c>
      <c r="B19" s="71" t="s">
        <v>23</v>
      </c>
      <c r="C19" s="78" t="s">
        <v>383</v>
      </c>
      <c r="D19" s="39" t="s">
        <v>13</v>
      </c>
      <c r="E19" s="35">
        <f>1235/1000</f>
        <v>1.2350000000000001</v>
      </c>
      <c r="F19" s="66">
        <f>240.447/1000</f>
        <v>0.24044699999999999</v>
      </c>
      <c r="G19" s="35">
        <f t="shared" si="0"/>
        <v>0.99455300000000013</v>
      </c>
    </row>
    <row r="20" spans="1:7" ht="22.5" x14ac:dyDescent="0.25">
      <c r="A20" s="36" t="s">
        <v>143</v>
      </c>
      <c r="B20" s="71" t="s">
        <v>22</v>
      </c>
      <c r="C20" s="78" t="s">
        <v>383</v>
      </c>
      <c r="D20" s="39" t="s">
        <v>15</v>
      </c>
      <c r="E20" s="35">
        <f>292/1000</f>
        <v>0.29199999999999998</v>
      </c>
      <c r="F20" s="66">
        <f>134.58/1000</f>
        <v>0.13458000000000001</v>
      </c>
      <c r="G20" s="35">
        <f t="shared" si="0"/>
        <v>0.15741999999999998</v>
      </c>
    </row>
    <row r="21" spans="1:7" x14ac:dyDescent="0.25">
      <c r="A21" s="36" t="s">
        <v>10</v>
      </c>
      <c r="B21" s="70" t="s">
        <v>45</v>
      </c>
      <c r="C21" s="78" t="s">
        <v>384</v>
      </c>
      <c r="D21" s="39" t="s">
        <v>15</v>
      </c>
      <c r="E21" s="35">
        <f>211/1000</f>
        <v>0.21099999999999999</v>
      </c>
      <c r="F21" s="66">
        <f>139.243/1000</f>
        <v>0.13924300000000001</v>
      </c>
      <c r="G21" s="35">
        <f t="shared" si="0"/>
        <v>7.1756999999999987E-2</v>
      </c>
    </row>
    <row r="22" spans="1:7" ht="22.5" x14ac:dyDescent="0.25">
      <c r="A22" s="36" t="s">
        <v>10</v>
      </c>
      <c r="B22" s="70" t="s">
        <v>43</v>
      </c>
      <c r="C22" s="79" t="s">
        <v>385</v>
      </c>
      <c r="D22" s="39" t="s">
        <v>13</v>
      </c>
      <c r="E22" s="35">
        <f>1206.5/1000</f>
        <v>1.2064999999999999</v>
      </c>
      <c r="F22" s="66">
        <f>700.002/1000</f>
        <v>0.7000019999999999</v>
      </c>
      <c r="G22" s="35">
        <f t="shared" si="0"/>
        <v>0.506498</v>
      </c>
    </row>
    <row r="23" spans="1:7" ht="22.5" x14ac:dyDescent="0.25">
      <c r="A23" s="36" t="s">
        <v>10</v>
      </c>
      <c r="B23" s="70" t="s">
        <v>31</v>
      </c>
      <c r="C23" s="79" t="s">
        <v>385</v>
      </c>
      <c r="D23" s="39" t="s">
        <v>15</v>
      </c>
      <c r="E23" s="35">
        <f>0/1000</f>
        <v>0</v>
      </c>
      <c r="F23" s="66">
        <f>0/1000</f>
        <v>0</v>
      </c>
      <c r="G23" s="35">
        <f t="shared" si="0"/>
        <v>0</v>
      </c>
    </row>
    <row r="24" spans="1:7" ht="22.5" x14ac:dyDescent="0.25">
      <c r="A24" s="72" t="s">
        <v>10</v>
      </c>
      <c r="B24" s="71" t="s">
        <v>34</v>
      </c>
      <c r="C24" s="79" t="s">
        <v>385</v>
      </c>
      <c r="D24" s="39" t="s">
        <v>16</v>
      </c>
      <c r="E24" s="35">
        <f>0/1000</f>
        <v>0</v>
      </c>
      <c r="F24" s="66">
        <f>0/1000</f>
        <v>0</v>
      </c>
      <c r="G24" s="35">
        <f t="shared" si="0"/>
        <v>0</v>
      </c>
    </row>
    <row r="25" spans="1:7" ht="22.5" x14ac:dyDescent="0.25">
      <c r="A25" s="72" t="s">
        <v>10</v>
      </c>
      <c r="B25" s="70" t="s">
        <v>35</v>
      </c>
      <c r="C25" s="79" t="s">
        <v>385</v>
      </c>
      <c r="D25" s="39" t="s">
        <v>13</v>
      </c>
      <c r="E25" s="35">
        <f>241.8/1000</f>
        <v>0.24180000000000001</v>
      </c>
      <c r="F25" s="66">
        <f>164.981/1000</f>
        <v>0.16498099999999999</v>
      </c>
      <c r="G25" s="35">
        <f t="shared" si="0"/>
        <v>7.6819000000000026E-2</v>
      </c>
    </row>
    <row r="26" spans="1:7" ht="22.5" x14ac:dyDescent="0.25">
      <c r="A26" s="72" t="s">
        <v>10</v>
      </c>
      <c r="B26" s="70" t="s">
        <v>37</v>
      </c>
      <c r="C26" s="79" t="s">
        <v>385</v>
      </c>
      <c r="D26" s="39" t="s">
        <v>15</v>
      </c>
      <c r="E26" s="35">
        <f>84/1000</f>
        <v>8.4000000000000005E-2</v>
      </c>
      <c r="F26" s="66">
        <f>56.861/1000</f>
        <v>5.6860999999999995E-2</v>
      </c>
      <c r="G26" s="35">
        <f t="shared" si="0"/>
        <v>2.713900000000001E-2</v>
      </c>
    </row>
    <row r="27" spans="1:7" ht="22.5" x14ac:dyDescent="0.25">
      <c r="A27" s="72" t="s">
        <v>10</v>
      </c>
      <c r="B27" s="70" t="s">
        <v>36</v>
      </c>
      <c r="C27" s="79" t="s">
        <v>385</v>
      </c>
      <c r="D27" s="39" t="s">
        <v>13</v>
      </c>
      <c r="E27" s="35">
        <f>294.5/1000</f>
        <v>0.29449999999999998</v>
      </c>
      <c r="F27" s="66">
        <f>160.172/1000</f>
        <v>0.16017200000000001</v>
      </c>
      <c r="G27" s="35">
        <f t="shared" si="0"/>
        <v>0.13432799999999998</v>
      </c>
    </row>
    <row r="28" spans="1:7" ht="22.5" x14ac:dyDescent="0.25">
      <c r="A28" s="72" t="s">
        <v>10</v>
      </c>
      <c r="B28" s="70" t="s">
        <v>32</v>
      </c>
      <c r="C28" s="79" t="s">
        <v>385</v>
      </c>
      <c r="D28" s="39" t="s">
        <v>16</v>
      </c>
      <c r="E28" s="35">
        <f>0/1000</f>
        <v>0</v>
      </c>
      <c r="F28" s="66">
        <f>0/1000</f>
        <v>0</v>
      </c>
      <c r="G28" s="35">
        <f t="shared" si="0"/>
        <v>0</v>
      </c>
    </row>
    <row r="29" spans="1:7" ht="22.5" x14ac:dyDescent="0.25">
      <c r="A29" s="72" t="s">
        <v>10</v>
      </c>
      <c r="B29" s="70" t="s">
        <v>33</v>
      </c>
      <c r="C29" s="79" t="s">
        <v>385</v>
      </c>
      <c r="D29" s="39" t="s">
        <v>16</v>
      </c>
      <c r="E29" s="35">
        <f>0/1000</f>
        <v>0</v>
      </c>
      <c r="F29" s="66">
        <f>0/1000</f>
        <v>0</v>
      </c>
      <c r="G29" s="35">
        <f t="shared" si="0"/>
        <v>0</v>
      </c>
    </row>
    <row r="30" spans="1:7" ht="22.5" x14ac:dyDescent="0.25">
      <c r="A30" s="72" t="s">
        <v>10</v>
      </c>
      <c r="B30" s="70" t="s">
        <v>308</v>
      </c>
      <c r="C30" s="79" t="s">
        <v>385</v>
      </c>
      <c r="D30" s="39" t="s">
        <v>13</v>
      </c>
      <c r="E30" s="35">
        <f>192.2/1000</f>
        <v>0.19219999999999998</v>
      </c>
      <c r="F30" s="66">
        <f>85.268/1000</f>
        <v>8.5267999999999997E-2</v>
      </c>
      <c r="G30" s="35">
        <f t="shared" si="0"/>
        <v>0.10693199999999999</v>
      </c>
    </row>
    <row r="31" spans="1:7" x14ac:dyDescent="0.25">
      <c r="A31" s="72" t="s">
        <v>10</v>
      </c>
      <c r="B31" s="70" t="s">
        <v>229</v>
      </c>
      <c r="C31" s="79" t="s">
        <v>385</v>
      </c>
      <c r="D31" s="39" t="s">
        <v>15</v>
      </c>
      <c r="E31" s="35">
        <f t="shared" ref="E31:F33" si="1">0/1000</f>
        <v>0</v>
      </c>
      <c r="F31" s="66">
        <f t="shared" si="1"/>
        <v>0</v>
      </c>
      <c r="G31" s="35">
        <f t="shared" si="0"/>
        <v>0</v>
      </c>
    </row>
    <row r="32" spans="1:7" ht="22.5" x14ac:dyDescent="0.25">
      <c r="A32" s="72" t="s">
        <v>30</v>
      </c>
      <c r="B32" s="70" t="s">
        <v>309</v>
      </c>
      <c r="C32" s="79" t="s">
        <v>407</v>
      </c>
      <c r="D32" s="39" t="s">
        <v>15</v>
      </c>
      <c r="E32" s="35">
        <f t="shared" si="1"/>
        <v>0</v>
      </c>
      <c r="F32" s="66">
        <f t="shared" si="1"/>
        <v>0</v>
      </c>
      <c r="G32" s="35">
        <f t="shared" si="0"/>
        <v>0</v>
      </c>
    </row>
    <row r="33" spans="1:7" ht="33.75" x14ac:dyDescent="0.25">
      <c r="A33" s="36" t="s">
        <v>10</v>
      </c>
      <c r="B33" s="70" t="s">
        <v>29</v>
      </c>
      <c r="C33" s="79" t="s">
        <v>386</v>
      </c>
      <c r="D33" s="39" t="s">
        <v>18</v>
      </c>
      <c r="E33" s="35">
        <f t="shared" si="1"/>
        <v>0</v>
      </c>
      <c r="F33" s="66">
        <f t="shared" si="1"/>
        <v>0</v>
      </c>
      <c r="G33" s="35">
        <f t="shared" si="0"/>
        <v>0</v>
      </c>
    </row>
    <row r="34" spans="1:7" ht="22.5" x14ac:dyDescent="0.25">
      <c r="A34" s="72" t="s">
        <v>11</v>
      </c>
      <c r="B34" s="70" t="s">
        <v>25</v>
      </c>
      <c r="C34" s="78" t="s">
        <v>387</v>
      </c>
      <c r="D34" s="40" t="s">
        <v>14</v>
      </c>
      <c r="E34" s="35">
        <f>21972.1/1000</f>
        <v>21.972099999999998</v>
      </c>
      <c r="F34" s="66">
        <f>20250.514/1000</f>
        <v>20.250513999999999</v>
      </c>
      <c r="G34" s="35">
        <f t="shared" si="0"/>
        <v>1.7215859999999985</v>
      </c>
    </row>
    <row r="35" spans="1:7" ht="33.75" x14ac:dyDescent="0.25">
      <c r="A35" s="72" t="s">
        <v>143</v>
      </c>
      <c r="B35" s="70" t="s">
        <v>26</v>
      </c>
      <c r="C35" s="78" t="s">
        <v>387</v>
      </c>
      <c r="D35" s="39" t="s">
        <v>15</v>
      </c>
      <c r="E35" s="35">
        <f>171/1000</f>
        <v>0.17100000000000001</v>
      </c>
      <c r="F35" s="66">
        <f>64.079/1000</f>
        <v>6.4078999999999997E-2</v>
      </c>
      <c r="G35" s="35">
        <f t="shared" si="0"/>
        <v>0.10692100000000002</v>
      </c>
    </row>
    <row r="36" spans="1:7" ht="22.5" x14ac:dyDescent="0.25">
      <c r="A36" s="72" t="s">
        <v>10</v>
      </c>
      <c r="B36" s="70" t="s">
        <v>38</v>
      </c>
      <c r="C36" s="78" t="s">
        <v>406</v>
      </c>
      <c r="D36" s="39" t="s">
        <v>13</v>
      </c>
      <c r="E36" s="35">
        <f>50/1000</f>
        <v>0.05</v>
      </c>
      <c r="F36" s="66">
        <f>77.337/1000</f>
        <v>7.7337000000000003E-2</v>
      </c>
      <c r="G36" s="35">
        <f t="shared" si="0"/>
        <v>-2.7337E-2</v>
      </c>
    </row>
    <row r="37" spans="1:7" ht="22.5" x14ac:dyDescent="0.25">
      <c r="A37" s="72" t="s">
        <v>10</v>
      </c>
      <c r="B37" s="70" t="s">
        <v>27</v>
      </c>
      <c r="C37" s="78" t="s">
        <v>388</v>
      </c>
      <c r="D37" s="39" t="s">
        <v>15</v>
      </c>
      <c r="E37" s="35">
        <f>130/1000</f>
        <v>0.13</v>
      </c>
      <c r="F37" s="66">
        <f>112.235/1000</f>
        <v>0.112235</v>
      </c>
      <c r="G37" s="35">
        <f t="shared" si="0"/>
        <v>1.7765000000000003E-2</v>
      </c>
    </row>
    <row r="38" spans="1:7" x14ac:dyDescent="0.25">
      <c r="A38" s="72" t="s">
        <v>30</v>
      </c>
      <c r="B38" s="70" t="s">
        <v>46</v>
      </c>
      <c r="C38" s="78" t="s">
        <v>389</v>
      </c>
      <c r="D38" s="39" t="s">
        <v>16</v>
      </c>
      <c r="E38" s="35">
        <f>0/1000</f>
        <v>0</v>
      </c>
      <c r="F38" s="66">
        <f>0/1000</f>
        <v>0</v>
      </c>
      <c r="G38" s="35">
        <f t="shared" si="0"/>
        <v>0</v>
      </c>
    </row>
    <row r="39" spans="1:7" ht="22.5" x14ac:dyDescent="0.25">
      <c r="A39" s="72" t="s">
        <v>10</v>
      </c>
      <c r="B39" s="70" t="s">
        <v>372</v>
      </c>
      <c r="C39" s="78" t="s">
        <v>388</v>
      </c>
      <c r="D39" s="39" t="s">
        <v>15</v>
      </c>
      <c r="E39" s="35">
        <f>295/1000</f>
        <v>0.29499999999999998</v>
      </c>
      <c r="F39" s="66">
        <f>276.885/1000</f>
        <v>0.27688499999999999</v>
      </c>
      <c r="G39" s="35">
        <f t="shared" si="0"/>
        <v>1.8114999999999992E-2</v>
      </c>
    </row>
    <row r="40" spans="1:7" ht="45" x14ac:dyDescent="0.25">
      <c r="A40" s="72" t="s">
        <v>30</v>
      </c>
      <c r="B40" s="70" t="s">
        <v>302</v>
      </c>
      <c r="C40" s="78" t="s">
        <v>389</v>
      </c>
      <c r="D40" s="39" t="s">
        <v>15</v>
      </c>
      <c r="E40" s="35">
        <f>27/1000</f>
        <v>2.7E-2</v>
      </c>
      <c r="F40" s="66">
        <f>288.203/1000</f>
        <v>0.28820299999999999</v>
      </c>
      <c r="G40" s="35">
        <f t="shared" ref="G40:G47" si="2">E40-F40</f>
        <v>-0.26120299999999996</v>
      </c>
    </row>
    <row r="41" spans="1:7" ht="33.75" x14ac:dyDescent="0.25">
      <c r="A41" s="72" t="s">
        <v>8</v>
      </c>
      <c r="B41" s="70" t="s">
        <v>303</v>
      </c>
      <c r="C41" s="79" t="s">
        <v>390</v>
      </c>
      <c r="D41" s="39" t="s">
        <v>13</v>
      </c>
      <c r="E41" s="35">
        <f>94/1000</f>
        <v>9.4E-2</v>
      </c>
      <c r="F41" s="66">
        <f>167.191/1000</f>
        <v>0.16719100000000001</v>
      </c>
      <c r="G41" s="35">
        <f t="shared" si="2"/>
        <v>-7.3191000000000006E-2</v>
      </c>
    </row>
    <row r="42" spans="1:7" ht="22.5" x14ac:dyDescent="0.25">
      <c r="A42" s="72" t="s">
        <v>10</v>
      </c>
      <c r="B42" s="70" t="s">
        <v>39</v>
      </c>
      <c r="C42" s="79" t="s">
        <v>391</v>
      </c>
      <c r="D42" s="39" t="s">
        <v>15</v>
      </c>
      <c r="E42" s="35">
        <f>124/1000</f>
        <v>0.124</v>
      </c>
      <c r="F42" s="66">
        <f>63.022/1000</f>
        <v>6.3021999999999995E-2</v>
      </c>
      <c r="G42" s="35">
        <f t="shared" si="2"/>
        <v>6.0978000000000004E-2</v>
      </c>
    </row>
    <row r="43" spans="1:7" ht="22.5" x14ac:dyDescent="0.25">
      <c r="A43" s="72" t="s">
        <v>30</v>
      </c>
      <c r="B43" s="70" t="s">
        <v>310</v>
      </c>
      <c r="C43" s="79" t="s">
        <v>392</v>
      </c>
      <c r="D43" s="39" t="s">
        <v>16</v>
      </c>
      <c r="E43" s="35">
        <f>44.393/1000</f>
        <v>4.4393000000000002E-2</v>
      </c>
      <c r="F43" s="66">
        <f>36.308/1000</f>
        <v>3.6308E-2</v>
      </c>
      <c r="G43" s="35">
        <f t="shared" si="2"/>
        <v>8.0850000000000019E-3</v>
      </c>
    </row>
    <row r="44" spans="1:7" ht="33.75" x14ac:dyDescent="0.25">
      <c r="A44" s="72" t="s">
        <v>30</v>
      </c>
      <c r="B44" s="70" t="s">
        <v>205</v>
      </c>
      <c r="C44" s="79" t="s">
        <v>393</v>
      </c>
      <c r="D44" s="39" t="s">
        <v>13</v>
      </c>
      <c r="E44" s="35">
        <f>1398.79/1000</f>
        <v>1.39879</v>
      </c>
      <c r="F44" s="66">
        <f>670.03/1000</f>
        <v>0.67003000000000001</v>
      </c>
      <c r="G44" s="35">
        <f t="shared" si="2"/>
        <v>0.72875999999999996</v>
      </c>
    </row>
    <row r="45" spans="1:7" ht="22.5" x14ac:dyDescent="0.25">
      <c r="A45" s="72" t="s">
        <v>10</v>
      </c>
      <c r="B45" s="70" t="s">
        <v>40</v>
      </c>
      <c r="C45" s="79" t="s">
        <v>394</v>
      </c>
      <c r="D45" s="41" t="s">
        <v>16</v>
      </c>
      <c r="E45" s="35">
        <f>0/1000</f>
        <v>0</v>
      </c>
      <c r="F45" s="66">
        <f>0/1000</f>
        <v>0</v>
      </c>
      <c r="G45" s="35">
        <f t="shared" si="2"/>
        <v>0</v>
      </c>
    </row>
    <row r="46" spans="1:7" ht="22.5" x14ac:dyDescent="0.25">
      <c r="A46" s="72" t="s">
        <v>10</v>
      </c>
      <c r="B46" s="70" t="s">
        <v>140</v>
      </c>
      <c r="C46" s="81" t="s">
        <v>395</v>
      </c>
      <c r="D46" s="41" t="s">
        <v>13</v>
      </c>
      <c r="E46" s="35">
        <f>920/1000</f>
        <v>0.92</v>
      </c>
      <c r="F46" s="66">
        <f>761.145/1000</f>
        <v>0.76114499999999996</v>
      </c>
      <c r="G46" s="35">
        <f t="shared" si="2"/>
        <v>0.15885500000000008</v>
      </c>
    </row>
    <row r="47" spans="1:7" ht="33.75" x14ac:dyDescent="0.25">
      <c r="A47" s="72" t="s">
        <v>8</v>
      </c>
      <c r="B47" s="70" t="s">
        <v>44</v>
      </c>
      <c r="C47" s="79" t="s">
        <v>396</v>
      </c>
      <c r="D47" s="39" t="s">
        <v>15</v>
      </c>
      <c r="E47" s="35">
        <f>0/1000</f>
        <v>0</v>
      </c>
      <c r="F47" s="66">
        <f>0/1000</f>
        <v>0</v>
      </c>
      <c r="G47" s="35">
        <f t="shared" si="2"/>
        <v>0</v>
      </c>
    </row>
    <row r="48" spans="1:7" ht="33.75" x14ac:dyDescent="0.25">
      <c r="A48" s="72" t="s">
        <v>11</v>
      </c>
      <c r="B48" s="71" t="s">
        <v>311</v>
      </c>
      <c r="C48" s="79" t="s">
        <v>396</v>
      </c>
      <c r="D48" s="39" t="s">
        <v>15</v>
      </c>
      <c r="E48" s="35">
        <f>0/1000</f>
        <v>0</v>
      </c>
      <c r="F48" s="66">
        <f>0/1000</f>
        <v>0</v>
      </c>
      <c r="G48" s="35">
        <f t="shared" si="0"/>
        <v>0</v>
      </c>
    </row>
    <row r="49" spans="1:7" ht="22.5" x14ac:dyDescent="0.25">
      <c r="A49" s="72" t="s">
        <v>8</v>
      </c>
      <c r="B49" s="71" t="s">
        <v>312</v>
      </c>
      <c r="C49" s="79" t="s">
        <v>397</v>
      </c>
      <c r="D49" s="39" t="s">
        <v>13</v>
      </c>
      <c r="E49" s="35">
        <f>350/1000</f>
        <v>0.35</v>
      </c>
      <c r="F49" s="66">
        <f>353.764/1000</f>
        <v>0.35376400000000002</v>
      </c>
      <c r="G49" s="35">
        <f t="shared" si="0"/>
        <v>-3.7640000000000451E-3</v>
      </c>
    </row>
    <row r="50" spans="1:7" ht="33.75" x14ac:dyDescent="0.25">
      <c r="A50" s="72" t="s">
        <v>30</v>
      </c>
      <c r="B50" s="71" t="s">
        <v>216</v>
      </c>
      <c r="C50" s="79" t="s">
        <v>398</v>
      </c>
      <c r="D50" s="39" t="s">
        <v>16</v>
      </c>
      <c r="E50" s="35">
        <f>1/1000</f>
        <v>1E-3</v>
      </c>
      <c r="F50" s="66">
        <f>0.54/1000</f>
        <v>5.4000000000000001E-4</v>
      </c>
      <c r="G50" s="35">
        <f t="shared" si="0"/>
        <v>4.6000000000000001E-4</v>
      </c>
    </row>
    <row r="51" spans="1:7" ht="22.5" x14ac:dyDescent="0.25">
      <c r="A51" s="72" t="s">
        <v>10</v>
      </c>
      <c r="B51" s="71" t="s">
        <v>313</v>
      </c>
      <c r="C51" s="79" t="s">
        <v>399</v>
      </c>
      <c r="D51" s="39" t="s">
        <v>13</v>
      </c>
      <c r="E51" s="35">
        <f>566.6/1000</f>
        <v>0.56659999999999999</v>
      </c>
      <c r="F51" s="66">
        <f>458.754/1000</f>
        <v>0.458754</v>
      </c>
      <c r="G51" s="35">
        <f t="shared" si="0"/>
        <v>0.107846</v>
      </c>
    </row>
    <row r="52" spans="1:7" ht="22.5" x14ac:dyDescent="0.25">
      <c r="A52" s="72" t="s">
        <v>10</v>
      </c>
      <c r="B52" s="71" t="s">
        <v>217</v>
      </c>
      <c r="C52" s="79" t="s">
        <v>400</v>
      </c>
      <c r="D52" s="39" t="s">
        <v>16</v>
      </c>
      <c r="E52" s="35">
        <f>25/1000</f>
        <v>2.5000000000000001E-2</v>
      </c>
      <c r="F52" s="66">
        <f>11.113/1000</f>
        <v>1.1113E-2</v>
      </c>
      <c r="G52" s="35">
        <f t="shared" si="0"/>
        <v>1.3887000000000002E-2</v>
      </c>
    </row>
    <row r="53" spans="1:7" x14ac:dyDescent="0.25">
      <c r="A53" s="72" t="s">
        <v>10</v>
      </c>
      <c r="B53" s="71" t="s">
        <v>42</v>
      </c>
      <c r="C53" s="79" t="s">
        <v>401</v>
      </c>
      <c r="D53" s="39" t="s">
        <v>16</v>
      </c>
      <c r="E53" s="35">
        <f>2/1000</f>
        <v>2E-3</v>
      </c>
      <c r="F53" s="66">
        <f>0.928/1000</f>
        <v>9.2800000000000001E-4</v>
      </c>
      <c r="G53" s="35">
        <f t="shared" si="0"/>
        <v>1.072E-3</v>
      </c>
    </row>
    <row r="54" spans="1:7" ht="22.5" x14ac:dyDescent="0.25">
      <c r="A54" s="72" t="s">
        <v>30</v>
      </c>
      <c r="B54" s="71" t="s">
        <v>230</v>
      </c>
      <c r="C54" s="79" t="s">
        <v>402</v>
      </c>
      <c r="D54" s="39" t="s">
        <v>15</v>
      </c>
      <c r="E54" s="35">
        <f>200/1000</f>
        <v>0.2</v>
      </c>
      <c r="F54" s="66">
        <f>151.599/1000</f>
        <v>0.15159899999999998</v>
      </c>
      <c r="G54" s="35">
        <f t="shared" si="0"/>
        <v>4.8401000000000027E-2</v>
      </c>
    </row>
    <row r="55" spans="1:7" ht="33.75" x14ac:dyDescent="0.25">
      <c r="A55" s="72" t="s">
        <v>143</v>
      </c>
      <c r="B55" s="70" t="s">
        <v>314</v>
      </c>
      <c r="C55" s="79" t="s">
        <v>403</v>
      </c>
      <c r="D55" s="39" t="s">
        <v>56</v>
      </c>
      <c r="E55" s="35">
        <f>0/1000</f>
        <v>0</v>
      </c>
      <c r="F55" s="66">
        <f>0/1000</f>
        <v>0</v>
      </c>
      <c r="G55" s="35">
        <f t="shared" si="0"/>
        <v>0</v>
      </c>
    </row>
    <row r="56" spans="1:7" ht="22.5" x14ac:dyDescent="0.25">
      <c r="A56" s="72" t="s">
        <v>30</v>
      </c>
      <c r="B56" s="70" t="s">
        <v>304</v>
      </c>
      <c r="C56" s="79" t="s">
        <v>404</v>
      </c>
      <c r="D56" s="39" t="s">
        <v>15</v>
      </c>
      <c r="E56" s="35">
        <f>19.5/1000</f>
        <v>1.95E-2</v>
      </c>
      <c r="F56" s="66">
        <f>15.441/1000</f>
        <v>1.5441E-2</v>
      </c>
      <c r="G56" s="35">
        <f t="shared" si="0"/>
        <v>4.0590000000000001E-3</v>
      </c>
    </row>
    <row r="57" spans="1:7" ht="22.5" x14ac:dyDescent="0.25">
      <c r="A57" s="72" t="s">
        <v>30</v>
      </c>
      <c r="B57" s="70" t="s">
        <v>321</v>
      </c>
      <c r="C57" s="79" t="s">
        <v>405</v>
      </c>
      <c r="D57" s="39" t="s">
        <v>16</v>
      </c>
      <c r="E57" s="35">
        <f>38/1000</f>
        <v>3.7999999999999999E-2</v>
      </c>
      <c r="F57" s="66">
        <f>14.535/1000</f>
        <v>1.4534999999999999E-2</v>
      </c>
      <c r="G57" s="35">
        <f t="shared" si="0"/>
        <v>2.3465E-2</v>
      </c>
    </row>
    <row r="58" spans="1:7" ht="22.5" x14ac:dyDescent="0.25">
      <c r="A58" s="72" t="s">
        <v>143</v>
      </c>
      <c r="B58" s="70" t="s">
        <v>349</v>
      </c>
      <c r="C58" s="82" t="s">
        <v>403</v>
      </c>
      <c r="D58" s="39" t="s">
        <v>56</v>
      </c>
      <c r="E58" s="35">
        <f t="shared" ref="E58:F60" si="3">0/1000</f>
        <v>0</v>
      </c>
      <c r="F58" s="66">
        <f t="shared" si="3"/>
        <v>0</v>
      </c>
      <c r="G58" s="35">
        <f t="shared" si="0"/>
        <v>0</v>
      </c>
    </row>
    <row r="59" spans="1:7" ht="22.5" x14ac:dyDescent="0.25">
      <c r="A59" s="72" t="s">
        <v>143</v>
      </c>
      <c r="B59" s="70" t="s">
        <v>350</v>
      </c>
      <c r="C59" s="82" t="s">
        <v>403</v>
      </c>
      <c r="D59" s="39" t="s">
        <v>56</v>
      </c>
      <c r="E59" s="35">
        <f t="shared" si="3"/>
        <v>0</v>
      </c>
      <c r="F59" s="66">
        <f t="shared" si="3"/>
        <v>0</v>
      </c>
      <c r="G59" s="35">
        <f t="shared" si="0"/>
        <v>0</v>
      </c>
    </row>
    <row r="60" spans="1:7" ht="22.5" x14ac:dyDescent="0.25">
      <c r="A60" s="72" t="s">
        <v>143</v>
      </c>
      <c r="B60" s="70" t="s">
        <v>350</v>
      </c>
      <c r="C60" s="82" t="s">
        <v>403</v>
      </c>
      <c r="D60" s="39" t="s">
        <v>56</v>
      </c>
      <c r="E60" s="35">
        <f t="shared" si="3"/>
        <v>0</v>
      </c>
      <c r="F60" s="66">
        <f t="shared" si="3"/>
        <v>0</v>
      </c>
      <c r="G60" s="35">
        <f t="shared" si="0"/>
        <v>0</v>
      </c>
    </row>
    <row r="61" spans="1:7" x14ac:dyDescent="0.25">
      <c r="A61" s="36" t="s">
        <v>10</v>
      </c>
      <c r="B61" s="36" t="s">
        <v>144</v>
      </c>
      <c r="C61" s="36" t="s">
        <v>144</v>
      </c>
      <c r="D61" s="39" t="s">
        <v>17</v>
      </c>
      <c r="E61" s="35">
        <f>60/1000</f>
        <v>0.06</v>
      </c>
      <c r="F61" s="66">
        <f>10.389/1000</f>
        <v>1.0388999999999999E-2</v>
      </c>
      <c r="G61" s="35">
        <f t="shared" si="0"/>
        <v>4.9611000000000002E-2</v>
      </c>
    </row>
    <row r="62" spans="1:7" x14ac:dyDescent="0.25">
      <c r="A62" s="36" t="s">
        <v>11</v>
      </c>
      <c r="B62" s="36" t="s">
        <v>145</v>
      </c>
      <c r="C62" s="36" t="s">
        <v>145</v>
      </c>
      <c r="D62" s="39" t="s">
        <v>17</v>
      </c>
      <c r="E62" s="35">
        <f>10/1000</f>
        <v>0.01</v>
      </c>
      <c r="F62" s="35">
        <f>0.08/1000</f>
        <v>8.0000000000000007E-5</v>
      </c>
      <c r="G62" s="35">
        <f t="shared" si="0"/>
        <v>9.92E-3</v>
      </c>
    </row>
    <row r="63" spans="1:7" ht="22.5" x14ac:dyDescent="0.25">
      <c r="A63" s="36" t="s">
        <v>10</v>
      </c>
      <c r="B63" s="36" t="s">
        <v>351</v>
      </c>
      <c r="C63" s="36" t="s">
        <v>351</v>
      </c>
      <c r="D63" s="39" t="s">
        <v>17</v>
      </c>
      <c r="E63" s="35">
        <f>20/1000</f>
        <v>0.02</v>
      </c>
      <c r="F63" s="35">
        <f>6.436/1000</f>
        <v>6.4359999999999999E-3</v>
      </c>
      <c r="G63" s="35">
        <f t="shared" si="0"/>
        <v>1.3564E-2</v>
      </c>
    </row>
    <row r="64" spans="1:7" x14ac:dyDescent="0.25">
      <c r="A64" s="36" t="s">
        <v>320</v>
      </c>
      <c r="B64" s="36" t="s">
        <v>319</v>
      </c>
      <c r="C64" s="36" t="s">
        <v>319</v>
      </c>
      <c r="D64" s="39" t="s">
        <v>17</v>
      </c>
      <c r="E64" s="35">
        <f>0/1000</f>
        <v>0</v>
      </c>
      <c r="F64" s="35">
        <f>0.045/1000</f>
        <v>4.4999999999999996E-5</v>
      </c>
      <c r="G64" s="35">
        <f t="shared" si="0"/>
        <v>-4.4999999999999996E-5</v>
      </c>
    </row>
    <row r="65" spans="1:7" x14ac:dyDescent="0.25">
      <c r="A65" s="19" t="s">
        <v>9</v>
      </c>
      <c r="B65" s="69"/>
      <c r="C65" s="69"/>
      <c r="D65" s="35"/>
      <c r="E65" s="35">
        <f>SUM(E12:E64)</f>
        <v>106.77038299999998</v>
      </c>
      <c r="F65" s="35">
        <f>SUM(F12:F64)</f>
        <v>94.151478999999981</v>
      </c>
      <c r="G65" s="35">
        <f>SUM(G12:G64)</f>
        <v>12.618904000000004</v>
      </c>
    </row>
    <row r="66" spans="1:7" x14ac:dyDescent="0.25">
      <c r="D66" s="15"/>
      <c r="G66" s="4"/>
    </row>
    <row r="67" spans="1:7" x14ac:dyDescent="0.25">
      <c r="F67" s="17"/>
      <c r="G67" s="4"/>
    </row>
    <row r="68" spans="1:7" x14ac:dyDescent="0.25">
      <c r="D68" s="17"/>
      <c r="E68" s="29"/>
      <c r="G68" s="4"/>
    </row>
    <row r="69" spans="1:7" x14ac:dyDescent="0.25">
      <c r="F69" s="20"/>
      <c r="G69" s="4"/>
    </row>
    <row r="70" spans="1:7" x14ac:dyDescent="0.25">
      <c r="E70" s="20"/>
      <c r="G70" s="4"/>
    </row>
  </sheetData>
  <autoFilter ref="A11:H65"/>
  <mergeCells count="2">
    <mergeCell ref="F1:G5"/>
    <mergeCell ref="C2:E7"/>
  </mergeCells>
  <pageMargins left="0.7" right="0.7" top="0.75" bottom="0.75" header="0.3" footer="0.3"/>
  <pageSetup paperSize="9" scale="4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7"/>
  <sheetViews>
    <sheetView view="pageBreakPreview" zoomScale="80" zoomScaleNormal="85" zoomScaleSheetLayoutView="80" workbookViewId="0">
      <pane ySplit="11" topLeftCell="A12" activePane="bottomLeft" state="frozen"/>
      <selection pane="bottomLeft" activeCell="C2" sqref="C2:E7"/>
    </sheetView>
  </sheetViews>
  <sheetFormatPr defaultColWidth="9.140625" defaultRowHeight="15" x14ac:dyDescent="0.25"/>
  <cols>
    <col min="1" max="1" width="24.42578125" style="4" customWidth="1"/>
    <col min="2" max="3" width="45.28515625" style="4" customWidth="1"/>
    <col min="4" max="4" width="13.7109375" style="4" customWidth="1"/>
    <col min="5" max="6" width="18.140625" style="4" customWidth="1"/>
    <col min="7" max="7" width="20.140625" style="8" customWidth="1"/>
    <col min="8" max="16384" width="9.140625" style="4"/>
  </cols>
  <sheetData>
    <row r="1" spans="1:7" ht="15" customHeight="1" x14ac:dyDescent="0.25">
      <c r="A1" s="45"/>
      <c r="B1" s="45"/>
      <c r="C1" s="46"/>
      <c r="D1" s="46"/>
      <c r="E1" s="46"/>
      <c r="F1" s="90" t="s">
        <v>210</v>
      </c>
      <c r="G1" s="91"/>
    </row>
    <row r="2" spans="1:7" ht="15" customHeight="1" x14ac:dyDescent="0.25">
      <c r="A2" s="45"/>
      <c r="B2" s="45"/>
      <c r="C2" s="92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за АВГУСТ 2024 года
</v>
      </c>
      <c r="D2" s="92"/>
      <c r="E2" s="92"/>
      <c r="F2" s="91"/>
      <c r="G2" s="91"/>
    </row>
    <row r="3" spans="1:7" ht="15" customHeight="1" x14ac:dyDescent="0.25">
      <c r="A3" s="45"/>
      <c r="B3" s="45"/>
      <c r="C3" s="92"/>
      <c r="D3" s="92"/>
      <c r="E3" s="92"/>
      <c r="F3" s="91"/>
      <c r="G3" s="91"/>
    </row>
    <row r="4" spans="1:7" ht="15" customHeight="1" x14ac:dyDescent="0.25">
      <c r="A4" s="45"/>
      <c r="B4" s="45"/>
      <c r="C4" s="92"/>
      <c r="D4" s="92"/>
      <c r="E4" s="92"/>
      <c r="F4" s="91"/>
      <c r="G4" s="91"/>
    </row>
    <row r="5" spans="1:7" ht="15" customHeight="1" x14ac:dyDescent="0.25">
      <c r="A5" s="45"/>
      <c r="B5" s="45"/>
      <c r="C5" s="92"/>
      <c r="D5" s="92"/>
      <c r="E5" s="92"/>
      <c r="F5" s="91"/>
      <c r="G5" s="91"/>
    </row>
    <row r="6" spans="1:7" ht="15" customHeight="1" x14ac:dyDescent="0.25">
      <c r="A6" s="45"/>
      <c r="B6" s="45"/>
      <c r="C6" s="92"/>
      <c r="D6" s="92"/>
      <c r="E6" s="92"/>
      <c r="F6" s="45"/>
      <c r="G6" s="47"/>
    </row>
    <row r="7" spans="1:7" ht="15" customHeight="1" x14ac:dyDescent="0.25">
      <c r="A7" s="45"/>
      <c r="B7" s="45"/>
      <c r="C7" s="92"/>
      <c r="D7" s="92"/>
      <c r="E7" s="92"/>
      <c r="F7" s="45"/>
      <c r="G7" s="47"/>
    </row>
    <row r="8" spans="1:7" x14ac:dyDescent="0.25">
      <c r="A8" s="48">
        <f>'Приморский край'!A8</f>
        <v>45535</v>
      </c>
      <c r="B8" s="45"/>
      <c r="C8" s="46"/>
      <c r="D8" s="46"/>
      <c r="E8" s="46"/>
      <c r="F8" s="46"/>
      <c r="G8" s="47"/>
    </row>
    <row r="9" spans="1:7" x14ac:dyDescent="0.25">
      <c r="A9" s="45"/>
      <c r="B9" s="45"/>
      <c r="C9" s="49"/>
      <c r="D9" s="49"/>
      <c r="E9" s="50">
        <f>SUBTOTAL(9,(E12:E36))*1000</f>
        <v>1858.4</v>
      </c>
      <c r="F9" s="50">
        <f>SUBTOTAL(9,(F12:F36))*1000</f>
        <v>14769.281000000004</v>
      </c>
      <c r="G9" s="47"/>
    </row>
    <row r="10" spans="1:7" ht="42" x14ac:dyDescent="0.25">
      <c r="A10" s="56" t="s">
        <v>3</v>
      </c>
      <c r="B10" s="56" t="s">
        <v>4</v>
      </c>
      <c r="C10" s="56" t="s">
        <v>5</v>
      </c>
      <c r="D10" s="56" t="s">
        <v>6</v>
      </c>
      <c r="E10" s="56" t="s">
        <v>0</v>
      </c>
      <c r="F10" s="56" t="s">
        <v>1</v>
      </c>
      <c r="G10" s="56" t="s">
        <v>2</v>
      </c>
    </row>
    <row r="11" spans="1:7" x14ac:dyDescent="0.25">
      <c r="A11" s="57">
        <v>1</v>
      </c>
      <c r="B11" s="57">
        <v>2</v>
      </c>
      <c r="C11" s="57">
        <v>3</v>
      </c>
      <c r="D11" s="57">
        <v>4</v>
      </c>
      <c r="E11" s="57">
        <v>5</v>
      </c>
      <c r="F11" s="57">
        <v>6</v>
      </c>
      <c r="G11" s="57">
        <v>7</v>
      </c>
    </row>
    <row r="12" spans="1:7" ht="48" customHeight="1" x14ac:dyDescent="0.25">
      <c r="A12" s="73" t="s">
        <v>197</v>
      </c>
      <c r="B12" s="74" t="s">
        <v>373</v>
      </c>
      <c r="C12" s="52" t="s">
        <v>354</v>
      </c>
      <c r="D12" s="40" t="s">
        <v>14</v>
      </c>
      <c r="E12" s="60">
        <f>14/1000</f>
        <v>1.4E-2</v>
      </c>
      <c r="F12" s="58">
        <f>13633.839/1000</f>
        <v>13.633839</v>
      </c>
      <c r="G12" s="59">
        <f>E12-F12</f>
        <v>-13.619839000000001</v>
      </c>
    </row>
    <row r="13" spans="1:7" ht="43.5" customHeight="1" x14ac:dyDescent="0.25">
      <c r="A13" s="73" t="s">
        <v>197</v>
      </c>
      <c r="B13" s="74" t="s">
        <v>374</v>
      </c>
      <c r="C13" s="52" t="s">
        <v>354</v>
      </c>
      <c r="D13" s="40" t="s">
        <v>13</v>
      </c>
      <c r="E13" s="60">
        <f>0/1000</f>
        <v>0</v>
      </c>
      <c r="F13" s="58">
        <f>0/1000</f>
        <v>0</v>
      </c>
      <c r="G13" s="59">
        <f t="shared" ref="G13:G36" si="0">E13-F13</f>
        <v>0</v>
      </c>
    </row>
    <row r="14" spans="1:7" ht="45" x14ac:dyDescent="0.25">
      <c r="A14" s="73" t="s">
        <v>198</v>
      </c>
      <c r="B14" s="74" t="s">
        <v>375</v>
      </c>
      <c r="C14" s="52" t="s">
        <v>354</v>
      </c>
      <c r="D14" s="40" t="s">
        <v>13</v>
      </c>
      <c r="E14" s="60">
        <f>340/1000</f>
        <v>0.34</v>
      </c>
      <c r="F14" s="58">
        <f>334.402/1000</f>
        <v>0.33440199999999998</v>
      </c>
      <c r="G14" s="59">
        <f t="shared" si="0"/>
        <v>5.5980000000000474E-3</v>
      </c>
    </row>
    <row r="15" spans="1:7" ht="22.5" x14ac:dyDescent="0.25">
      <c r="A15" s="73" t="s">
        <v>7</v>
      </c>
      <c r="B15" s="74" t="s">
        <v>376</v>
      </c>
      <c r="C15" s="52" t="s">
        <v>355</v>
      </c>
      <c r="D15" s="39" t="s">
        <v>15</v>
      </c>
      <c r="E15" s="60">
        <f>0/1000</f>
        <v>0</v>
      </c>
      <c r="F15" s="58">
        <f>0/1000</f>
        <v>0</v>
      </c>
      <c r="G15" s="59">
        <f t="shared" si="0"/>
        <v>0</v>
      </c>
    </row>
    <row r="16" spans="1:7" ht="22.5" x14ac:dyDescent="0.25">
      <c r="A16" s="73" t="s">
        <v>7</v>
      </c>
      <c r="B16" s="74" t="s">
        <v>377</v>
      </c>
      <c r="C16" s="52" t="s">
        <v>355</v>
      </c>
      <c r="D16" s="39" t="s">
        <v>15</v>
      </c>
      <c r="E16" s="60">
        <f>187/1000</f>
        <v>0.187</v>
      </c>
      <c r="F16" s="58">
        <f>164.666/1000</f>
        <v>0.16466600000000001</v>
      </c>
      <c r="G16" s="59">
        <f t="shared" si="0"/>
        <v>2.2333999999999993E-2</v>
      </c>
    </row>
    <row r="17" spans="1:7" ht="22.5" x14ac:dyDescent="0.25">
      <c r="A17" s="73" t="s">
        <v>197</v>
      </c>
      <c r="B17" s="71" t="s">
        <v>47</v>
      </c>
      <c r="C17" s="76" t="s">
        <v>356</v>
      </c>
      <c r="D17" s="68" t="s">
        <v>15</v>
      </c>
      <c r="E17" s="61">
        <f>250/1000</f>
        <v>0.25</v>
      </c>
      <c r="F17" s="58">
        <f>225.924/1000</f>
        <v>0.22592400000000001</v>
      </c>
      <c r="G17" s="59">
        <f t="shared" si="0"/>
        <v>2.4075999999999986E-2</v>
      </c>
    </row>
    <row r="18" spans="1:7" ht="22.5" x14ac:dyDescent="0.25">
      <c r="A18" s="73" t="s">
        <v>198</v>
      </c>
      <c r="B18" s="74" t="s">
        <v>48</v>
      </c>
      <c r="C18" s="77" t="s">
        <v>357</v>
      </c>
      <c r="D18" s="39" t="s">
        <v>16</v>
      </c>
      <c r="E18" s="60">
        <f>24/1000</f>
        <v>2.4E-2</v>
      </c>
      <c r="F18" s="58">
        <f>24.248/1000</f>
        <v>2.4248000000000002E-2</v>
      </c>
      <c r="G18" s="59">
        <f t="shared" si="0"/>
        <v>-2.4800000000000169E-4</v>
      </c>
    </row>
    <row r="19" spans="1:7" ht="22.5" x14ac:dyDescent="0.25">
      <c r="A19" s="73" t="s">
        <v>198</v>
      </c>
      <c r="B19" s="74" t="s">
        <v>49</v>
      </c>
      <c r="C19" s="77" t="s">
        <v>358</v>
      </c>
      <c r="D19" s="39" t="s">
        <v>16</v>
      </c>
      <c r="E19" s="60">
        <f>31/1000</f>
        <v>3.1E-2</v>
      </c>
      <c r="F19" s="58">
        <f>19.839/1000</f>
        <v>1.9838999999999999E-2</v>
      </c>
      <c r="G19" s="59">
        <f t="shared" si="0"/>
        <v>1.1161000000000001E-2</v>
      </c>
    </row>
    <row r="20" spans="1:7" ht="22.5" x14ac:dyDescent="0.25">
      <c r="A20" s="73" t="s">
        <v>198</v>
      </c>
      <c r="B20" s="74" t="s">
        <v>50</v>
      </c>
      <c r="C20" s="77" t="s">
        <v>359</v>
      </c>
      <c r="D20" s="39" t="s">
        <v>16</v>
      </c>
      <c r="E20" s="60">
        <f>1.5/1000</f>
        <v>1.5E-3</v>
      </c>
      <c r="F20" s="58">
        <f>0.053/1000</f>
        <v>5.3000000000000001E-5</v>
      </c>
      <c r="G20" s="59">
        <f t="shared" si="0"/>
        <v>1.4469999999999999E-3</v>
      </c>
    </row>
    <row r="21" spans="1:7" x14ac:dyDescent="0.25">
      <c r="A21" s="73" t="s">
        <v>7</v>
      </c>
      <c r="B21" s="74" t="s">
        <v>51</v>
      </c>
      <c r="C21" s="77" t="s">
        <v>360</v>
      </c>
      <c r="D21" s="39" t="s">
        <v>56</v>
      </c>
      <c r="E21" s="60">
        <f>1.7/1000</f>
        <v>1.6999999999999999E-3</v>
      </c>
      <c r="F21" s="58">
        <f>0/1000</f>
        <v>0</v>
      </c>
      <c r="G21" s="59">
        <f t="shared" si="0"/>
        <v>1.6999999999999999E-3</v>
      </c>
    </row>
    <row r="22" spans="1:7" ht="22.5" x14ac:dyDescent="0.25">
      <c r="A22" s="73" t="s">
        <v>198</v>
      </c>
      <c r="B22" s="74" t="s">
        <v>52</v>
      </c>
      <c r="C22" s="52" t="s">
        <v>361</v>
      </c>
      <c r="D22" s="39" t="s">
        <v>16</v>
      </c>
      <c r="E22" s="60">
        <f>80/1000</f>
        <v>0.08</v>
      </c>
      <c r="F22" s="58">
        <f>52.134/1000</f>
        <v>5.2134E-2</v>
      </c>
      <c r="G22" s="59">
        <f t="shared" si="0"/>
        <v>2.7866000000000002E-2</v>
      </c>
    </row>
    <row r="23" spans="1:7" ht="33.75" x14ac:dyDescent="0.25">
      <c r="A23" s="73" t="s">
        <v>198</v>
      </c>
      <c r="B23" s="75" t="s">
        <v>53</v>
      </c>
      <c r="C23" s="77" t="s">
        <v>362</v>
      </c>
      <c r="D23" s="39" t="s">
        <v>16</v>
      </c>
      <c r="E23" s="60">
        <f>21/1000</f>
        <v>2.1000000000000001E-2</v>
      </c>
      <c r="F23" s="58">
        <f>18.232/1000</f>
        <v>1.8231999999999998E-2</v>
      </c>
      <c r="G23" s="59">
        <f t="shared" si="0"/>
        <v>2.7680000000000031E-3</v>
      </c>
    </row>
    <row r="24" spans="1:7" ht="22.5" x14ac:dyDescent="0.25">
      <c r="A24" s="73" t="s">
        <v>198</v>
      </c>
      <c r="B24" s="74" t="s">
        <v>141</v>
      </c>
      <c r="C24" s="77" t="s">
        <v>363</v>
      </c>
      <c r="D24" s="39" t="s">
        <v>15</v>
      </c>
      <c r="E24" s="60">
        <f>150/1000</f>
        <v>0.15</v>
      </c>
      <c r="F24" s="58">
        <f>28.649/1000</f>
        <v>2.8649000000000001E-2</v>
      </c>
      <c r="G24" s="59">
        <f t="shared" si="0"/>
        <v>0.12135099999999999</v>
      </c>
    </row>
    <row r="25" spans="1:7" ht="33.75" x14ac:dyDescent="0.25">
      <c r="A25" s="73" t="s">
        <v>7</v>
      </c>
      <c r="B25" s="74" t="s">
        <v>54</v>
      </c>
      <c r="C25" s="77" t="s">
        <v>364</v>
      </c>
      <c r="D25" s="39" t="s">
        <v>16</v>
      </c>
      <c r="E25" s="60">
        <f>19.7/1000</f>
        <v>1.9699999999999999E-2</v>
      </c>
      <c r="F25" s="58">
        <f>15.376/1000</f>
        <v>1.5375999999999999E-2</v>
      </c>
      <c r="G25" s="59">
        <f t="shared" si="0"/>
        <v>4.3239999999999997E-3</v>
      </c>
    </row>
    <row r="26" spans="1:7" ht="22.5" x14ac:dyDescent="0.25">
      <c r="A26" s="73" t="s">
        <v>7</v>
      </c>
      <c r="B26" s="74" t="s">
        <v>55</v>
      </c>
      <c r="C26" s="77" t="s">
        <v>365</v>
      </c>
      <c r="D26" s="39" t="s">
        <v>56</v>
      </c>
      <c r="E26" s="60">
        <f>6/1000</f>
        <v>6.0000000000000001E-3</v>
      </c>
      <c r="F26" s="58">
        <f>2.897/1000</f>
        <v>2.8969999999999998E-3</v>
      </c>
      <c r="G26" s="59">
        <f t="shared" si="0"/>
        <v>3.1030000000000003E-3</v>
      </c>
    </row>
    <row r="27" spans="1:7" ht="33.75" x14ac:dyDescent="0.25">
      <c r="A27" s="73" t="s">
        <v>198</v>
      </c>
      <c r="B27" s="74" t="s">
        <v>142</v>
      </c>
      <c r="C27" s="77" t="s">
        <v>366</v>
      </c>
      <c r="D27" s="39" t="s">
        <v>16</v>
      </c>
      <c r="E27" s="60">
        <f>2/1000</f>
        <v>2E-3</v>
      </c>
      <c r="F27" s="58">
        <f>2.185/1000</f>
        <v>2.1849999999999999E-3</v>
      </c>
      <c r="G27" s="59">
        <f t="shared" si="0"/>
        <v>-1.8499999999999983E-4</v>
      </c>
    </row>
    <row r="28" spans="1:7" ht="33.75" x14ac:dyDescent="0.25">
      <c r="A28" s="73" t="s">
        <v>7</v>
      </c>
      <c r="B28" s="74" t="s">
        <v>196</v>
      </c>
      <c r="C28" s="77" t="s">
        <v>367</v>
      </c>
      <c r="D28" s="39" t="s">
        <v>15</v>
      </c>
      <c r="E28" s="60">
        <f>6.2/1000</f>
        <v>6.1999999999999998E-3</v>
      </c>
      <c r="F28" s="58">
        <f>0/1000</f>
        <v>0</v>
      </c>
      <c r="G28" s="59">
        <f t="shared" si="0"/>
        <v>6.1999999999999998E-3</v>
      </c>
    </row>
    <row r="29" spans="1:7" ht="33.75" x14ac:dyDescent="0.25">
      <c r="A29" s="73" t="s">
        <v>197</v>
      </c>
      <c r="B29" s="74" t="s">
        <v>305</v>
      </c>
      <c r="C29" s="77" t="s">
        <v>368</v>
      </c>
      <c r="D29" s="39" t="s">
        <v>15</v>
      </c>
      <c r="E29" s="60">
        <f>260/1000</f>
        <v>0.26</v>
      </c>
      <c r="F29" s="58">
        <f>119.747/1000</f>
        <v>0.11974700000000001</v>
      </c>
      <c r="G29" s="59">
        <f t="shared" si="0"/>
        <v>0.14025300000000002</v>
      </c>
    </row>
    <row r="30" spans="1:7" ht="33.75" x14ac:dyDescent="0.25">
      <c r="A30" s="73" t="s">
        <v>197</v>
      </c>
      <c r="B30" s="74" t="s">
        <v>306</v>
      </c>
      <c r="C30" s="77" t="s">
        <v>369</v>
      </c>
      <c r="D30" s="39" t="s">
        <v>16</v>
      </c>
      <c r="E30" s="60">
        <f>10/1000</f>
        <v>0.01</v>
      </c>
      <c r="F30" s="58">
        <f>3.094/1000</f>
        <v>3.094E-3</v>
      </c>
      <c r="G30" s="59">
        <f t="shared" si="0"/>
        <v>6.9060000000000007E-3</v>
      </c>
    </row>
    <row r="31" spans="1:7" ht="22.5" x14ac:dyDescent="0.25">
      <c r="A31" s="73" t="s">
        <v>198</v>
      </c>
      <c r="B31" s="74" t="s">
        <v>206</v>
      </c>
      <c r="C31" s="77" t="s">
        <v>370</v>
      </c>
      <c r="D31" s="39" t="s">
        <v>15</v>
      </c>
      <c r="E31" s="60">
        <f>400/1000</f>
        <v>0.4</v>
      </c>
      <c r="F31" s="58">
        <f>81.765/1000</f>
        <v>8.1765000000000004E-2</v>
      </c>
      <c r="G31" s="59">
        <f t="shared" si="0"/>
        <v>0.31823500000000005</v>
      </c>
    </row>
    <row r="32" spans="1:7" ht="22.5" x14ac:dyDescent="0.25">
      <c r="A32" s="73" t="s">
        <v>7</v>
      </c>
      <c r="B32" s="74" t="s">
        <v>207</v>
      </c>
      <c r="C32" s="77" t="s">
        <v>371</v>
      </c>
      <c r="D32" s="39" t="s">
        <v>56</v>
      </c>
      <c r="E32" s="60">
        <f>0/1000</f>
        <v>0</v>
      </c>
      <c r="F32" s="58">
        <f>0/1000</f>
        <v>0</v>
      </c>
      <c r="G32" s="59">
        <f t="shared" si="0"/>
        <v>0</v>
      </c>
    </row>
    <row r="33" spans="1:7" ht="22.5" x14ac:dyDescent="0.25">
      <c r="A33" s="73" t="s">
        <v>7</v>
      </c>
      <c r="B33" s="74" t="s">
        <v>208</v>
      </c>
      <c r="C33" s="77" t="s">
        <v>371</v>
      </c>
      <c r="D33" s="39" t="s">
        <v>56</v>
      </c>
      <c r="E33" s="60">
        <f>1.3/1000</f>
        <v>1.2999999999999999E-3</v>
      </c>
      <c r="F33" s="58">
        <f>0.735/1000</f>
        <v>7.3499999999999998E-4</v>
      </c>
      <c r="G33" s="59">
        <f t="shared" si="0"/>
        <v>5.6499999999999996E-4</v>
      </c>
    </row>
    <row r="34" spans="1:7" ht="22.5" x14ac:dyDescent="0.25">
      <c r="A34" s="73" t="s">
        <v>7</v>
      </c>
      <c r="B34" s="74" t="s">
        <v>209</v>
      </c>
      <c r="C34" s="77" t="s">
        <v>371</v>
      </c>
      <c r="D34" s="39" t="s">
        <v>56</v>
      </c>
      <c r="E34" s="60">
        <f>0/1000</f>
        <v>0</v>
      </c>
      <c r="F34" s="58">
        <f>0/1000</f>
        <v>0</v>
      </c>
      <c r="G34" s="59">
        <f t="shared" si="0"/>
        <v>0</v>
      </c>
    </row>
    <row r="35" spans="1:7" x14ac:dyDescent="0.25">
      <c r="A35" s="36" t="s">
        <v>353</v>
      </c>
      <c r="B35" s="36" t="s">
        <v>378</v>
      </c>
      <c r="C35" s="36" t="s">
        <v>7</v>
      </c>
      <c r="D35" s="39" t="s">
        <v>17</v>
      </c>
      <c r="E35" s="60">
        <f>26/1000</f>
        <v>2.5999999999999999E-2</v>
      </c>
      <c r="F35" s="58">
        <f>23.935/1000</f>
        <v>2.3934999999999998E-2</v>
      </c>
      <c r="G35" s="59">
        <f t="shared" si="0"/>
        <v>2.0650000000000009E-3</v>
      </c>
    </row>
    <row r="36" spans="1:7" x14ac:dyDescent="0.25">
      <c r="A36" s="36" t="s">
        <v>353</v>
      </c>
      <c r="B36" s="36" t="s">
        <v>379</v>
      </c>
      <c r="C36" s="36" t="s">
        <v>353</v>
      </c>
      <c r="D36" s="39" t="s">
        <v>17</v>
      </c>
      <c r="E36" s="60">
        <f>27/1000</f>
        <v>2.7E-2</v>
      </c>
      <c r="F36" s="58">
        <f>17.561/1000</f>
        <v>1.7561E-2</v>
      </c>
      <c r="G36" s="59">
        <f t="shared" si="0"/>
        <v>9.4389999999999995E-3</v>
      </c>
    </row>
    <row r="37" spans="1:7" x14ac:dyDescent="0.25">
      <c r="A37" s="45"/>
      <c r="B37" s="44" t="s">
        <v>9</v>
      </c>
      <c r="C37" s="53"/>
      <c r="D37" s="53"/>
      <c r="E37" s="54">
        <f>SUM(E12:E36)</f>
        <v>1.8584000000000001</v>
      </c>
      <c r="F37" s="54">
        <f>SUM(F12:F36)</f>
        <v>14.769281000000005</v>
      </c>
      <c r="G37" s="55"/>
    </row>
    <row r="800" spans="1:7" x14ac:dyDescent="0.25">
      <c r="A800" s="2"/>
      <c r="B800" s="2"/>
      <c r="C800" s="3"/>
      <c r="D800" s="2"/>
      <c r="E800" s="2"/>
      <c r="F800" s="2"/>
      <c r="G800" s="9"/>
    </row>
    <row r="801" spans="1:7" x14ac:dyDescent="0.25">
      <c r="A801" s="2"/>
      <c r="B801" s="2"/>
      <c r="C801" s="3"/>
      <c r="D801" s="2"/>
      <c r="E801" s="2"/>
      <c r="F801" s="2"/>
      <c r="G801" s="9"/>
    </row>
    <row r="802" spans="1:7" x14ac:dyDescent="0.25">
      <c r="A802" s="2"/>
      <c r="B802" s="2"/>
      <c r="C802" s="3"/>
      <c r="D802" s="2"/>
      <c r="E802" s="2"/>
      <c r="F802" s="2"/>
      <c r="G802" s="9"/>
    </row>
    <row r="803" spans="1:7" x14ac:dyDescent="0.25">
      <c r="A803" s="2"/>
      <c r="B803" s="2"/>
      <c r="C803" s="3"/>
      <c r="D803" s="2"/>
      <c r="E803" s="2"/>
      <c r="F803" s="2"/>
      <c r="G803" s="9"/>
    </row>
    <row r="804" spans="1:7" x14ac:dyDescent="0.25">
      <c r="A804" s="2"/>
      <c r="B804" s="2"/>
      <c r="C804" s="3"/>
      <c r="D804" s="2"/>
      <c r="E804" s="2"/>
      <c r="F804" s="2"/>
      <c r="G804" s="9"/>
    </row>
    <row r="805" spans="1:7" x14ac:dyDescent="0.25">
      <c r="A805" s="2"/>
      <c r="B805" s="2"/>
      <c r="C805" s="3"/>
      <c r="D805" s="2"/>
      <c r="E805" s="2"/>
      <c r="F805" s="2"/>
      <c r="G805" s="9"/>
    </row>
    <row r="806" spans="1:7" x14ac:dyDescent="0.25">
      <c r="A806" s="2"/>
      <c r="B806" s="2"/>
      <c r="C806" s="3"/>
      <c r="D806" s="2"/>
      <c r="E806" s="2"/>
      <c r="F806" s="2"/>
      <c r="G806" s="9"/>
    </row>
    <row r="807" spans="1:7" x14ac:dyDescent="0.25">
      <c r="A807" s="2"/>
      <c r="B807" s="2"/>
      <c r="C807" s="3"/>
      <c r="D807" s="2"/>
      <c r="E807" s="2"/>
      <c r="F807" s="2"/>
      <c r="G807" s="9"/>
    </row>
    <row r="808" spans="1:7" x14ac:dyDescent="0.25">
      <c r="A808" s="2"/>
      <c r="B808" s="2"/>
      <c r="C808" s="3"/>
      <c r="D808" s="2"/>
      <c r="E808" s="2"/>
      <c r="F808" s="2"/>
      <c r="G808" s="9"/>
    </row>
    <row r="809" spans="1:7" x14ac:dyDescent="0.25">
      <c r="A809" s="2"/>
      <c r="B809" s="2"/>
      <c r="C809" s="3"/>
      <c r="D809" s="2"/>
      <c r="E809" s="2"/>
      <c r="F809" s="2"/>
      <c r="G809" s="9"/>
    </row>
    <row r="810" spans="1:7" x14ac:dyDescent="0.25">
      <c r="A810" s="2"/>
      <c r="B810" s="2"/>
      <c r="C810" s="3"/>
      <c r="D810" s="2"/>
      <c r="E810" s="2"/>
      <c r="F810" s="2"/>
      <c r="G810" s="9"/>
    </row>
    <row r="811" spans="1:7" x14ac:dyDescent="0.25">
      <c r="A811" s="2"/>
      <c r="B811" s="2"/>
      <c r="C811" s="3"/>
      <c r="D811" s="2"/>
      <c r="E811" s="2"/>
      <c r="F811" s="2"/>
      <c r="G811" s="9"/>
    </row>
    <row r="812" spans="1:7" x14ac:dyDescent="0.25">
      <c r="A812" s="2"/>
      <c r="B812" s="2"/>
      <c r="C812" s="3"/>
      <c r="D812" s="2"/>
      <c r="E812" s="2"/>
      <c r="F812" s="2"/>
      <c r="G812" s="9"/>
    </row>
    <row r="813" spans="1:7" x14ac:dyDescent="0.25">
      <c r="A813" s="2"/>
      <c r="B813" s="2"/>
      <c r="C813" s="3"/>
      <c r="D813" s="2"/>
      <c r="E813" s="2"/>
      <c r="F813" s="2"/>
      <c r="G813" s="9"/>
    </row>
    <row r="814" spans="1:7" x14ac:dyDescent="0.25">
      <c r="A814" s="2"/>
      <c r="B814" s="2"/>
      <c r="C814" s="3"/>
      <c r="D814" s="2"/>
      <c r="E814" s="2"/>
      <c r="F814" s="2"/>
      <c r="G814" s="9"/>
    </row>
    <row r="815" spans="1:7" x14ac:dyDescent="0.25">
      <c r="A815" s="2"/>
      <c r="B815" s="2"/>
      <c r="C815" s="3"/>
      <c r="D815" s="2"/>
      <c r="E815" s="2"/>
      <c r="F815" s="2"/>
      <c r="G815" s="9"/>
    </row>
    <row r="816" spans="1:7" x14ac:dyDescent="0.25">
      <c r="A816" s="2"/>
      <c r="B816" s="2"/>
      <c r="C816" s="3"/>
      <c r="D816" s="2"/>
      <c r="E816" s="2"/>
      <c r="F816" s="2"/>
      <c r="G816" s="9"/>
    </row>
    <row r="817" spans="1:7" x14ac:dyDescent="0.25">
      <c r="A817" s="2"/>
      <c r="B817" s="2"/>
      <c r="C817" s="3"/>
      <c r="D817" s="2"/>
      <c r="E817" s="2"/>
      <c r="F817" s="2"/>
      <c r="G817" s="9"/>
    </row>
    <row r="818" spans="1:7" x14ac:dyDescent="0.25">
      <c r="A818" s="2"/>
      <c r="B818" s="2"/>
      <c r="C818" s="3"/>
      <c r="D818" s="2"/>
      <c r="E818" s="2"/>
      <c r="F818" s="2"/>
      <c r="G818" s="9"/>
    </row>
    <row r="819" spans="1:7" x14ac:dyDescent="0.25">
      <c r="A819" s="2"/>
      <c r="B819" s="2"/>
      <c r="C819" s="3"/>
      <c r="D819" s="2"/>
      <c r="E819" s="2"/>
      <c r="F819" s="2"/>
      <c r="G819" s="9"/>
    </row>
    <row r="820" spans="1:7" x14ac:dyDescent="0.25">
      <c r="A820" s="2"/>
      <c r="B820" s="2"/>
      <c r="C820" s="3"/>
      <c r="D820" s="2"/>
      <c r="E820" s="2"/>
      <c r="F820" s="2"/>
      <c r="G820" s="9"/>
    </row>
    <row r="821" spans="1:7" x14ac:dyDescent="0.25">
      <c r="A821" s="2"/>
      <c r="B821" s="2"/>
      <c r="C821" s="3"/>
      <c r="D821" s="2"/>
      <c r="E821" s="2"/>
      <c r="F821" s="2"/>
      <c r="G821" s="9"/>
    </row>
    <row r="822" spans="1:7" x14ac:dyDescent="0.25">
      <c r="A822" s="2"/>
      <c r="B822" s="2"/>
      <c r="C822" s="3"/>
      <c r="D822" s="2"/>
      <c r="E822" s="2"/>
      <c r="F822" s="2"/>
      <c r="G822" s="9"/>
    </row>
    <row r="823" spans="1:7" x14ac:dyDescent="0.25">
      <c r="A823" s="2"/>
      <c r="B823" s="2"/>
      <c r="C823" s="3"/>
      <c r="D823" s="2"/>
      <c r="E823" s="2"/>
      <c r="F823" s="2"/>
      <c r="G823" s="9"/>
    </row>
    <row r="824" spans="1:7" x14ac:dyDescent="0.25">
      <c r="A824" s="2"/>
      <c r="B824" s="2"/>
      <c r="C824" s="3"/>
      <c r="D824" s="2"/>
      <c r="E824" s="2"/>
      <c r="F824" s="2"/>
      <c r="G824" s="9"/>
    </row>
    <row r="825" spans="1:7" x14ac:dyDescent="0.25">
      <c r="A825" s="2"/>
      <c r="B825" s="2"/>
      <c r="C825" s="3"/>
      <c r="D825" s="2"/>
      <c r="E825" s="2"/>
      <c r="F825" s="2"/>
      <c r="G825" s="9"/>
    </row>
    <row r="826" spans="1:7" x14ac:dyDescent="0.25">
      <c r="A826" s="2"/>
      <c r="B826" s="2"/>
      <c r="C826" s="3"/>
      <c r="D826" s="2"/>
      <c r="E826" s="2"/>
      <c r="F826" s="2"/>
      <c r="G826" s="9"/>
    </row>
    <row r="827" spans="1:7" x14ac:dyDescent="0.25">
      <c r="A827" s="2"/>
      <c r="B827" s="2"/>
      <c r="C827" s="3"/>
      <c r="D827" s="2"/>
      <c r="E827" s="2"/>
      <c r="F827" s="2"/>
      <c r="G827" s="9"/>
    </row>
    <row r="828" spans="1:7" x14ac:dyDescent="0.25">
      <c r="A828" s="2"/>
      <c r="B828" s="2"/>
      <c r="C828" s="3"/>
      <c r="D828" s="2"/>
      <c r="E828" s="2"/>
      <c r="F828" s="2"/>
      <c r="G828" s="9"/>
    </row>
    <row r="829" spans="1:7" x14ac:dyDescent="0.25">
      <c r="A829" s="2"/>
      <c r="B829" s="2"/>
      <c r="C829" s="3"/>
      <c r="D829" s="2"/>
      <c r="E829" s="2"/>
      <c r="F829" s="2"/>
      <c r="G829" s="9"/>
    </row>
    <row r="830" spans="1:7" x14ac:dyDescent="0.25">
      <c r="A830" s="2"/>
      <c r="B830" s="2"/>
      <c r="C830" s="3"/>
      <c r="D830" s="2"/>
      <c r="E830" s="2"/>
      <c r="F830" s="2"/>
      <c r="G830" s="9"/>
    </row>
    <row r="831" spans="1:7" x14ac:dyDescent="0.25">
      <c r="A831" s="2"/>
      <c r="B831" s="2"/>
      <c r="C831" s="3"/>
      <c r="D831" s="2"/>
      <c r="E831" s="2"/>
      <c r="F831" s="2"/>
      <c r="G831" s="9"/>
    </row>
    <row r="832" spans="1:7" x14ac:dyDescent="0.25">
      <c r="A832" s="2"/>
      <c r="B832" s="2"/>
      <c r="C832" s="3"/>
      <c r="D832" s="2"/>
      <c r="E832" s="2"/>
      <c r="F832" s="2"/>
      <c r="G832" s="9"/>
    </row>
    <row r="833" spans="1:7" x14ac:dyDescent="0.25">
      <c r="A833" s="2"/>
      <c r="B833" s="2"/>
      <c r="C833" s="3"/>
      <c r="D833" s="2"/>
      <c r="E833" s="2"/>
      <c r="F833" s="2"/>
      <c r="G833" s="9"/>
    </row>
    <row r="834" spans="1:7" x14ac:dyDescent="0.25">
      <c r="A834" s="2"/>
      <c r="B834" s="2"/>
      <c r="C834" s="3"/>
      <c r="D834" s="2"/>
      <c r="E834" s="2"/>
      <c r="F834" s="2"/>
      <c r="G834" s="9"/>
    </row>
    <row r="835" spans="1:7" x14ac:dyDescent="0.25">
      <c r="A835" s="2"/>
      <c r="B835" s="2"/>
      <c r="C835" s="3"/>
      <c r="D835" s="2"/>
      <c r="E835" s="2"/>
      <c r="F835" s="2"/>
      <c r="G835" s="9"/>
    </row>
    <row r="836" spans="1:7" x14ac:dyDescent="0.25">
      <c r="A836" s="2"/>
      <c r="B836" s="2"/>
      <c r="C836" s="3"/>
      <c r="D836" s="2"/>
      <c r="E836" s="2"/>
      <c r="F836" s="2"/>
      <c r="G836" s="9"/>
    </row>
    <row r="837" spans="1:7" x14ac:dyDescent="0.25">
      <c r="A837" s="2"/>
      <c r="B837" s="2"/>
      <c r="C837" s="3"/>
      <c r="D837" s="2"/>
      <c r="E837" s="2"/>
      <c r="F837" s="2"/>
      <c r="G837" s="9"/>
    </row>
    <row r="838" spans="1:7" x14ac:dyDescent="0.25">
      <c r="A838" s="2"/>
      <c r="B838" s="2"/>
      <c r="C838" s="3"/>
      <c r="D838" s="2"/>
      <c r="E838" s="2"/>
      <c r="F838" s="2"/>
      <c r="G838" s="9"/>
    </row>
    <row r="839" spans="1:7" x14ac:dyDescent="0.25">
      <c r="A839" s="2"/>
      <c r="B839" s="2"/>
      <c r="C839" s="3"/>
      <c r="D839" s="2"/>
      <c r="E839" s="2"/>
      <c r="F839" s="2"/>
      <c r="G839" s="9"/>
    </row>
    <row r="840" spans="1:7" x14ac:dyDescent="0.25">
      <c r="A840" s="2"/>
      <c r="B840" s="2"/>
      <c r="C840" s="3"/>
      <c r="D840" s="2"/>
      <c r="E840" s="2"/>
      <c r="F840" s="2"/>
      <c r="G840" s="9"/>
    </row>
    <row r="841" spans="1:7" x14ac:dyDescent="0.25">
      <c r="A841" s="2"/>
      <c r="B841" s="2"/>
      <c r="C841" s="3"/>
      <c r="D841" s="2"/>
      <c r="E841" s="2"/>
      <c r="F841" s="2"/>
      <c r="G841" s="9"/>
    </row>
    <row r="842" spans="1:7" x14ac:dyDescent="0.25">
      <c r="A842" s="2"/>
      <c r="B842" s="2"/>
      <c r="C842" s="3"/>
      <c r="D842" s="2"/>
      <c r="E842" s="2"/>
      <c r="F842" s="2"/>
      <c r="G842" s="9"/>
    </row>
    <row r="843" spans="1:7" x14ac:dyDescent="0.25">
      <c r="A843" s="2"/>
      <c r="B843" s="2"/>
      <c r="C843" s="3"/>
      <c r="D843" s="2"/>
      <c r="E843" s="2"/>
      <c r="F843" s="2"/>
      <c r="G843" s="9"/>
    </row>
    <row r="844" spans="1:7" x14ac:dyDescent="0.25">
      <c r="A844" s="2"/>
      <c r="B844" s="2"/>
      <c r="C844" s="3"/>
      <c r="D844" s="2"/>
      <c r="E844" s="2"/>
      <c r="F844" s="2"/>
      <c r="G844" s="9"/>
    </row>
    <row r="845" spans="1:7" x14ac:dyDescent="0.25">
      <c r="A845" s="2"/>
      <c r="B845" s="2"/>
      <c r="C845" s="3"/>
      <c r="D845" s="2"/>
      <c r="E845" s="2"/>
      <c r="F845" s="2"/>
      <c r="G845" s="9"/>
    </row>
    <row r="846" spans="1:7" x14ac:dyDescent="0.25">
      <c r="A846" s="2"/>
      <c r="B846" s="2"/>
      <c r="C846" s="3"/>
      <c r="D846" s="2"/>
      <c r="E846" s="2"/>
      <c r="F846" s="2"/>
      <c r="G846" s="9"/>
    </row>
    <row r="847" spans="1:7" x14ac:dyDescent="0.25">
      <c r="A847" s="2"/>
      <c r="B847" s="2"/>
      <c r="C847" s="3"/>
      <c r="D847" s="2"/>
      <c r="E847" s="2"/>
      <c r="F847" s="2"/>
      <c r="G847" s="9"/>
    </row>
    <row r="848" spans="1:7" x14ac:dyDescent="0.25">
      <c r="A848" s="2"/>
      <c r="B848" s="2"/>
      <c r="C848" s="3"/>
      <c r="D848" s="2"/>
      <c r="E848" s="2"/>
      <c r="F848" s="2"/>
      <c r="G848" s="9"/>
    </row>
    <row r="849" spans="1:7" x14ac:dyDescent="0.25">
      <c r="A849" s="2"/>
      <c r="B849" s="2"/>
      <c r="C849" s="3"/>
      <c r="D849" s="2"/>
      <c r="E849" s="2"/>
      <c r="F849" s="2"/>
      <c r="G849" s="9"/>
    </row>
    <row r="850" spans="1:7" x14ac:dyDescent="0.25">
      <c r="A850" s="2"/>
      <c r="B850" s="2"/>
      <c r="C850" s="3"/>
      <c r="D850" s="2"/>
      <c r="E850" s="2"/>
      <c r="F850" s="2"/>
      <c r="G850" s="9"/>
    </row>
    <row r="851" spans="1:7" x14ac:dyDescent="0.25">
      <c r="A851" s="2"/>
      <c r="B851" s="2"/>
      <c r="C851" s="3"/>
      <c r="D851" s="2"/>
      <c r="E851" s="2"/>
      <c r="F851" s="2"/>
      <c r="G851" s="9"/>
    </row>
    <row r="852" spans="1:7" x14ac:dyDescent="0.25">
      <c r="A852" s="2"/>
      <c r="B852" s="2"/>
      <c r="C852" s="3"/>
      <c r="D852" s="2"/>
      <c r="E852" s="2"/>
      <c r="F852" s="2"/>
      <c r="G852" s="9"/>
    </row>
    <row r="853" spans="1:7" x14ac:dyDescent="0.25">
      <c r="A853" s="2"/>
      <c r="B853" s="2"/>
      <c r="C853" s="3"/>
      <c r="D853" s="2"/>
      <c r="E853" s="2"/>
      <c r="F853" s="2"/>
      <c r="G853" s="9"/>
    </row>
    <row r="854" spans="1:7" x14ac:dyDescent="0.25">
      <c r="A854" s="2"/>
      <c r="B854" s="2"/>
      <c r="C854" s="3"/>
      <c r="D854" s="2"/>
      <c r="E854" s="2"/>
      <c r="F854" s="2"/>
      <c r="G854" s="9"/>
    </row>
    <row r="855" spans="1:7" x14ac:dyDescent="0.25">
      <c r="A855" s="2"/>
      <c r="B855" s="2"/>
      <c r="C855" s="3"/>
      <c r="D855" s="2"/>
      <c r="E855" s="2"/>
      <c r="F855" s="2"/>
      <c r="G855" s="9"/>
    </row>
    <row r="856" spans="1:7" x14ac:dyDescent="0.25">
      <c r="A856" s="2"/>
      <c r="B856" s="2"/>
      <c r="C856" s="3"/>
      <c r="D856" s="2"/>
      <c r="E856" s="2"/>
      <c r="F856" s="2"/>
      <c r="G856" s="9"/>
    </row>
    <row r="857" spans="1:7" x14ac:dyDescent="0.25">
      <c r="A857" s="2"/>
      <c r="B857" s="2"/>
      <c r="C857" s="3"/>
      <c r="D857" s="2"/>
      <c r="E857" s="2"/>
      <c r="F857" s="2"/>
      <c r="G857" s="9"/>
    </row>
    <row r="858" spans="1:7" x14ac:dyDescent="0.25">
      <c r="A858" s="2"/>
      <c r="B858" s="2"/>
      <c r="C858" s="3"/>
      <c r="D858" s="2"/>
      <c r="E858" s="2"/>
      <c r="F858" s="2"/>
      <c r="G858" s="9"/>
    </row>
    <row r="859" spans="1:7" x14ac:dyDescent="0.25">
      <c r="A859" s="2"/>
      <c r="B859" s="2"/>
      <c r="C859" s="3"/>
      <c r="D859" s="2"/>
      <c r="E859" s="2"/>
      <c r="F859" s="2"/>
      <c r="G859" s="9"/>
    </row>
    <row r="860" spans="1:7" x14ac:dyDescent="0.25">
      <c r="A860" s="2"/>
      <c r="B860" s="2"/>
      <c r="C860" s="3"/>
      <c r="D860" s="2"/>
      <c r="E860" s="2"/>
      <c r="F860" s="2"/>
      <c r="G860" s="9"/>
    </row>
    <row r="861" spans="1:7" x14ac:dyDescent="0.25">
      <c r="A861" s="2"/>
      <c r="B861" s="2"/>
      <c r="C861" s="3"/>
      <c r="D861" s="2"/>
      <c r="E861" s="2"/>
      <c r="F861" s="2"/>
      <c r="G861" s="9"/>
    </row>
    <row r="862" spans="1:7" x14ac:dyDescent="0.25">
      <c r="A862" s="2"/>
      <c r="B862" s="2"/>
      <c r="C862" s="3"/>
      <c r="D862" s="2"/>
      <c r="E862" s="2"/>
      <c r="F862" s="2"/>
      <c r="G862" s="9"/>
    </row>
    <row r="863" spans="1:7" x14ac:dyDescent="0.25">
      <c r="A863" s="2"/>
      <c r="B863" s="2"/>
      <c r="C863" s="3"/>
      <c r="D863" s="2"/>
      <c r="E863" s="2"/>
      <c r="F863" s="2"/>
      <c r="G863" s="9"/>
    </row>
    <row r="864" spans="1:7" x14ac:dyDescent="0.25">
      <c r="A864" s="2"/>
      <c r="B864" s="2"/>
      <c r="C864" s="3"/>
      <c r="D864" s="2"/>
      <c r="E864" s="2"/>
      <c r="F864" s="2"/>
      <c r="G864" s="9"/>
    </row>
    <row r="865" spans="1:7" x14ac:dyDescent="0.25">
      <c r="A865" s="2"/>
      <c r="B865" s="2"/>
      <c r="C865" s="3"/>
      <c r="D865" s="2"/>
      <c r="E865" s="2"/>
      <c r="F865" s="2"/>
      <c r="G865" s="9"/>
    </row>
    <row r="866" spans="1:7" x14ac:dyDescent="0.25">
      <c r="A866" s="2"/>
      <c r="B866" s="2"/>
      <c r="C866" s="3"/>
      <c r="D866" s="2"/>
      <c r="E866" s="2"/>
      <c r="F866" s="2"/>
      <c r="G866" s="9"/>
    </row>
    <row r="867" spans="1:7" x14ac:dyDescent="0.25">
      <c r="A867" s="2"/>
      <c r="B867" s="2"/>
      <c r="C867" s="3"/>
      <c r="D867" s="2"/>
      <c r="E867" s="2"/>
      <c r="F867" s="2"/>
      <c r="G867" s="9"/>
    </row>
    <row r="868" spans="1:7" x14ac:dyDescent="0.25">
      <c r="A868" s="2"/>
      <c r="B868" s="2"/>
      <c r="C868" s="3"/>
      <c r="D868" s="2"/>
      <c r="E868" s="2"/>
      <c r="F868" s="2"/>
      <c r="G868" s="9"/>
    </row>
    <row r="869" spans="1:7" x14ac:dyDescent="0.25">
      <c r="A869" s="2"/>
      <c r="B869" s="2"/>
      <c r="C869" s="3"/>
      <c r="D869" s="2"/>
      <c r="E869" s="2"/>
      <c r="F869" s="2"/>
      <c r="G869" s="9"/>
    </row>
    <row r="870" spans="1:7" x14ac:dyDescent="0.25">
      <c r="A870" s="2"/>
      <c r="B870" s="2"/>
      <c r="C870" s="3"/>
      <c r="D870" s="2"/>
      <c r="E870" s="2"/>
      <c r="F870" s="2"/>
      <c r="G870" s="9"/>
    </row>
    <row r="871" spans="1:7" x14ac:dyDescent="0.25">
      <c r="A871" s="2"/>
      <c r="B871" s="2"/>
      <c r="C871" s="3"/>
      <c r="D871" s="2"/>
      <c r="E871" s="2"/>
      <c r="F871" s="2"/>
      <c r="G871" s="9"/>
    </row>
    <row r="872" spans="1:7" x14ac:dyDescent="0.25">
      <c r="A872" s="2"/>
      <c r="B872" s="2"/>
      <c r="C872" s="3"/>
      <c r="D872" s="2"/>
      <c r="E872" s="2"/>
      <c r="F872" s="2"/>
      <c r="G872" s="9"/>
    </row>
    <row r="873" spans="1:7" x14ac:dyDescent="0.25">
      <c r="A873" s="2"/>
      <c r="B873" s="2"/>
      <c r="C873" s="3"/>
      <c r="D873" s="2"/>
      <c r="E873" s="2"/>
      <c r="F873" s="2"/>
      <c r="G873" s="9"/>
    </row>
    <row r="874" spans="1:7" x14ac:dyDescent="0.25">
      <c r="A874" s="2"/>
      <c r="B874" s="2"/>
      <c r="C874" s="3"/>
      <c r="D874" s="2"/>
      <c r="E874" s="2"/>
      <c r="F874" s="2"/>
      <c r="G874" s="9"/>
    </row>
    <row r="875" spans="1:7" x14ac:dyDescent="0.25">
      <c r="A875" s="2"/>
      <c r="B875" s="2"/>
      <c r="C875" s="3"/>
      <c r="D875" s="2"/>
      <c r="E875" s="2"/>
      <c r="F875" s="2"/>
      <c r="G875" s="9"/>
    </row>
    <row r="876" spans="1:7" x14ac:dyDescent="0.25">
      <c r="A876" s="2"/>
      <c r="B876" s="2"/>
      <c r="C876" s="3"/>
      <c r="D876" s="2"/>
      <c r="E876" s="2"/>
      <c r="F876" s="2"/>
      <c r="G876" s="9"/>
    </row>
    <row r="877" spans="1:7" x14ac:dyDescent="0.25">
      <c r="A877" s="2"/>
      <c r="B877" s="2"/>
      <c r="C877" s="3"/>
      <c r="D877" s="2"/>
      <c r="E877" s="2"/>
      <c r="F877" s="2"/>
      <c r="G877" s="9"/>
    </row>
    <row r="878" spans="1:7" x14ac:dyDescent="0.25">
      <c r="A878" s="2"/>
      <c r="B878" s="2"/>
      <c r="C878" s="3"/>
      <c r="D878" s="2"/>
      <c r="E878" s="2"/>
      <c r="F878" s="2"/>
      <c r="G878" s="9"/>
    </row>
    <row r="879" spans="1:7" x14ac:dyDescent="0.25">
      <c r="A879" s="2"/>
      <c r="B879" s="2"/>
      <c r="C879" s="3"/>
      <c r="D879" s="2"/>
      <c r="E879" s="2"/>
      <c r="F879" s="2"/>
      <c r="G879" s="9"/>
    </row>
    <row r="880" spans="1:7" x14ac:dyDescent="0.25">
      <c r="A880" s="2"/>
      <c r="B880" s="2"/>
      <c r="C880" s="3"/>
      <c r="D880" s="2"/>
      <c r="E880" s="2"/>
      <c r="F880" s="2"/>
      <c r="G880" s="9"/>
    </row>
    <row r="881" spans="1:7" x14ac:dyDescent="0.25">
      <c r="A881" s="2"/>
      <c r="B881" s="2"/>
      <c r="C881" s="3"/>
      <c r="D881" s="2"/>
      <c r="E881" s="2"/>
      <c r="F881" s="2"/>
      <c r="G881" s="9"/>
    </row>
    <row r="882" spans="1:7" x14ac:dyDescent="0.25">
      <c r="A882" s="2"/>
      <c r="B882" s="2"/>
      <c r="C882" s="3"/>
      <c r="D882" s="2"/>
      <c r="E882" s="2"/>
      <c r="F882" s="2"/>
      <c r="G882" s="9"/>
    </row>
    <row r="883" spans="1:7" x14ac:dyDescent="0.25">
      <c r="A883" s="2"/>
      <c r="B883" s="2"/>
      <c r="C883" s="3"/>
      <c r="D883" s="2"/>
      <c r="E883" s="2"/>
      <c r="F883" s="2"/>
      <c r="G883" s="9"/>
    </row>
    <row r="884" spans="1:7" x14ac:dyDescent="0.25">
      <c r="A884" s="2"/>
      <c r="B884" s="2"/>
      <c r="C884" s="3"/>
      <c r="D884" s="2"/>
      <c r="E884" s="2"/>
      <c r="F884" s="2"/>
      <c r="G884" s="9"/>
    </row>
    <row r="885" spans="1:7" x14ac:dyDescent="0.25">
      <c r="A885" s="2"/>
      <c r="B885" s="2"/>
      <c r="C885" s="3"/>
      <c r="D885" s="2"/>
      <c r="E885" s="2"/>
      <c r="F885" s="2"/>
      <c r="G885" s="9"/>
    </row>
    <row r="886" spans="1:7" x14ac:dyDescent="0.25">
      <c r="A886" s="2"/>
      <c r="B886" s="2"/>
      <c r="C886" s="3"/>
      <c r="D886" s="2"/>
      <c r="E886" s="2"/>
      <c r="F886" s="2"/>
      <c r="G886" s="9"/>
    </row>
    <row r="887" spans="1:7" x14ac:dyDescent="0.25">
      <c r="A887" s="2"/>
      <c r="B887" s="2"/>
      <c r="C887" s="3"/>
      <c r="D887" s="2"/>
      <c r="E887" s="93"/>
      <c r="F887" s="2"/>
      <c r="G887" s="9"/>
    </row>
    <row r="888" spans="1:7" x14ac:dyDescent="0.25">
      <c r="A888" s="2"/>
      <c r="B888" s="2"/>
      <c r="C888" s="3"/>
      <c r="D888" s="2"/>
      <c r="E888" s="94"/>
      <c r="F888" s="2"/>
      <c r="G888" s="9"/>
    </row>
    <row r="889" spans="1:7" x14ac:dyDescent="0.25">
      <c r="A889" s="2"/>
      <c r="B889" s="2"/>
      <c r="C889" s="3"/>
      <c r="D889" s="2"/>
      <c r="E889" s="94"/>
      <c r="F889" s="2"/>
      <c r="G889" s="9"/>
    </row>
    <row r="890" spans="1:7" x14ac:dyDescent="0.25">
      <c r="A890" s="2"/>
      <c r="B890" s="2"/>
      <c r="C890" s="3"/>
      <c r="D890" s="2"/>
      <c r="E890" s="94"/>
      <c r="F890" s="2"/>
      <c r="G890" s="9"/>
    </row>
    <row r="891" spans="1:7" x14ac:dyDescent="0.25">
      <c r="A891" s="2"/>
      <c r="B891" s="2"/>
      <c r="C891" s="3"/>
      <c r="D891" s="2"/>
      <c r="E891" s="94"/>
      <c r="F891" s="2"/>
      <c r="G891" s="9"/>
    </row>
    <row r="892" spans="1:7" x14ac:dyDescent="0.25">
      <c r="A892" s="2"/>
      <c r="B892" s="2"/>
      <c r="C892" s="3"/>
      <c r="D892" s="2"/>
      <c r="E892" s="94"/>
      <c r="F892" s="2"/>
      <c r="G892" s="9"/>
    </row>
    <row r="893" spans="1:7" x14ac:dyDescent="0.25">
      <c r="A893" s="2"/>
      <c r="B893" s="2"/>
      <c r="C893" s="3"/>
      <c r="D893" s="2"/>
      <c r="E893" s="94"/>
      <c r="F893" s="2"/>
      <c r="G893" s="9"/>
    </row>
    <row r="894" spans="1:7" x14ac:dyDescent="0.25">
      <c r="A894" s="2"/>
      <c r="B894" s="2"/>
      <c r="C894" s="3"/>
      <c r="D894" s="2"/>
      <c r="E894" s="94"/>
      <c r="F894" s="2"/>
      <c r="G894" s="9"/>
    </row>
    <row r="895" spans="1:7" x14ac:dyDescent="0.25">
      <c r="A895" s="2"/>
      <c r="B895" s="2"/>
      <c r="C895" s="3"/>
      <c r="D895" s="2"/>
      <c r="E895" s="95"/>
      <c r="F895" s="2"/>
      <c r="G895" s="9"/>
    </row>
    <row r="896" spans="1:7" x14ac:dyDescent="0.25">
      <c r="A896" s="2"/>
      <c r="B896" s="2"/>
      <c r="C896" s="3"/>
      <c r="D896" s="2"/>
      <c r="E896" s="2"/>
      <c r="F896" s="2"/>
      <c r="G896" s="9"/>
    </row>
    <row r="897" spans="1:7" x14ac:dyDescent="0.25">
      <c r="A897" s="2"/>
      <c r="B897" s="2"/>
      <c r="C897" s="3"/>
      <c r="D897" s="2"/>
      <c r="E897" s="2"/>
      <c r="F897" s="2"/>
      <c r="G897" s="9"/>
    </row>
    <row r="898" spans="1:7" x14ac:dyDescent="0.25">
      <c r="A898" s="2"/>
      <c r="B898" s="2"/>
      <c r="C898" s="3"/>
      <c r="D898" s="2"/>
      <c r="E898" s="2"/>
      <c r="F898" s="2"/>
      <c r="G898" s="9"/>
    </row>
    <row r="899" spans="1:7" x14ac:dyDescent="0.25">
      <c r="A899" s="2"/>
      <c r="B899" s="2"/>
      <c r="C899" s="3"/>
      <c r="D899" s="2"/>
      <c r="E899" s="2"/>
      <c r="F899" s="2"/>
      <c r="G899" s="9"/>
    </row>
    <row r="900" spans="1:7" x14ac:dyDescent="0.25">
      <c r="A900" s="2"/>
      <c r="B900" s="2"/>
      <c r="C900" s="3"/>
      <c r="D900" s="2"/>
      <c r="E900" s="2"/>
      <c r="F900" s="2"/>
      <c r="G900" s="9"/>
    </row>
    <row r="901" spans="1:7" x14ac:dyDescent="0.25">
      <c r="A901" s="2"/>
      <c r="B901" s="2"/>
      <c r="C901" s="3"/>
      <c r="D901" s="2"/>
      <c r="E901" s="2"/>
      <c r="F901" s="2"/>
      <c r="G901" s="9"/>
    </row>
    <row r="902" spans="1:7" x14ac:dyDescent="0.25">
      <c r="A902" s="2"/>
      <c r="B902" s="2"/>
      <c r="C902" s="3"/>
      <c r="D902" s="2"/>
      <c r="E902" s="2"/>
      <c r="F902" s="2"/>
      <c r="G902" s="9"/>
    </row>
    <row r="903" spans="1:7" x14ac:dyDescent="0.25">
      <c r="A903" s="2"/>
      <c r="B903" s="2"/>
      <c r="C903" s="3"/>
      <c r="D903" s="2"/>
      <c r="E903" s="2"/>
      <c r="F903" s="2"/>
      <c r="G903" s="9"/>
    </row>
    <row r="904" spans="1:7" x14ac:dyDescent="0.25">
      <c r="A904" s="2"/>
      <c r="B904" s="2"/>
      <c r="C904" s="3"/>
      <c r="D904" s="2"/>
      <c r="E904" s="2"/>
      <c r="F904" s="2"/>
      <c r="G904" s="9"/>
    </row>
    <row r="905" spans="1:7" x14ac:dyDescent="0.25">
      <c r="A905" s="2"/>
      <c r="B905" s="2"/>
      <c r="C905" s="3"/>
      <c r="D905" s="2"/>
      <c r="E905" s="2"/>
      <c r="F905" s="2"/>
      <c r="G905" s="9"/>
    </row>
    <row r="906" spans="1:7" x14ac:dyDescent="0.25">
      <c r="A906" s="2"/>
      <c r="B906" s="2"/>
      <c r="C906" s="3"/>
      <c r="D906" s="2"/>
      <c r="E906" s="2"/>
      <c r="F906" s="2"/>
      <c r="G906" s="9"/>
    </row>
    <row r="907" spans="1:7" x14ac:dyDescent="0.25">
      <c r="A907" s="2"/>
      <c r="B907" s="2"/>
      <c r="C907" s="3"/>
      <c r="D907" s="2"/>
      <c r="E907" s="2"/>
      <c r="F907" s="2"/>
      <c r="G907" s="9"/>
    </row>
    <row r="908" spans="1:7" x14ac:dyDescent="0.25">
      <c r="A908" s="2"/>
      <c r="B908" s="2"/>
      <c r="C908" s="3"/>
      <c r="D908" s="2"/>
      <c r="E908" s="2"/>
      <c r="F908" s="2"/>
      <c r="G908" s="9"/>
    </row>
    <row r="909" spans="1:7" x14ac:dyDescent="0.25">
      <c r="A909" s="2"/>
      <c r="B909" s="2"/>
      <c r="C909" s="3"/>
      <c r="D909" s="2"/>
      <c r="E909" s="2"/>
      <c r="F909" s="2"/>
      <c r="G909" s="9"/>
    </row>
    <row r="910" spans="1:7" x14ac:dyDescent="0.25">
      <c r="A910" s="2"/>
      <c r="B910" s="2"/>
      <c r="C910" s="3"/>
      <c r="D910" s="2"/>
      <c r="E910" s="2"/>
      <c r="F910" s="2"/>
      <c r="G910" s="9"/>
    </row>
    <row r="911" spans="1:7" x14ac:dyDescent="0.25">
      <c r="A911" s="2"/>
      <c r="B911" s="2"/>
      <c r="C911" s="3"/>
      <c r="D911" s="2"/>
      <c r="E911" s="2"/>
      <c r="F911" s="2"/>
      <c r="G911" s="9"/>
    </row>
    <row r="912" spans="1:7" x14ac:dyDescent="0.25">
      <c r="A912" s="2"/>
      <c r="B912" s="2"/>
      <c r="C912" s="3"/>
      <c r="D912" s="2"/>
      <c r="E912" s="2"/>
      <c r="F912" s="2"/>
      <c r="G912" s="9"/>
    </row>
    <row r="913" spans="1:7" x14ac:dyDescent="0.25">
      <c r="A913" s="2"/>
      <c r="B913" s="2"/>
      <c r="C913" s="3"/>
      <c r="D913" s="2"/>
      <c r="E913" s="2"/>
      <c r="F913" s="2"/>
      <c r="G913" s="9"/>
    </row>
    <row r="914" spans="1:7" x14ac:dyDescent="0.25">
      <c r="A914" s="2"/>
      <c r="B914" s="2"/>
      <c r="C914" s="3"/>
      <c r="D914" s="2"/>
      <c r="E914" s="2"/>
      <c r="F914" s="2"/>
      <c r="G914" s="9"/>
    </row>
    <row r="915" spans="1:7" x14ac:dyDescent="0.25">
      <c r="A915" s="2"/>
      <c r="B915" s="2"/>
      <c r="C915" s="3"/>
      <c r="D915" s="2"/>
      <c r="E915" s="2"/>
      <c r="F915" s="2"/>
      <c r="G915" s="9"/>
    </row>
    <row r="916" spans="1:7" x14ac:dyDescent="0.25">
      <c r="A916" s="2"/>
      <c r="B916" s="2"/>
      <c r="C916" s="3"/>
      <c r="D916" s="2"/>
      <c r="E916" s="2"/>
      <c r="F916" s="2"/>
      <c r="G916" s="9"/>
    </row>
    <row r="917" spans="1:7" x14ac:dyDescent="0.25">
      <c r="A917" s="2"/>
      <c r="B917" s="2"/>
      <c r="C917" s="3"/>
      <c r="D917" s="2"/>
      <c r="E917" s="2"/>
      <c r="F917" s="2"/>
      <c r="G917" s="9"/>
    </row>
    <row r="918" spans="1:7" x14ac:dyDescent="0.25">
      <c r="A918" s="2"/>
      <c r="B918" s="2"/>
      <c r="C918" s="3"/>
      <c r="D918" s="2"/>
      <c r="E918" s="2"/>
      <c r="F918" s="2"/>
      <c r="G918" s="9"/>
    </row>
    <row r="919" spans="1:7" x14ac:dyDescent="0.25">
      <c r="A919" s="2"/>
      <c r="B919" s="2"/>
      <c r="C919" s="3"/>
      <c r="D919" s="2"/>
      <c r="E919" s="2"/>
      <c r="F919" s="2"/>
      <c r="G919" s="9"/>
    </row>
    <row r="920" spans="1:7" x14ac:dyDescent="0.25">
      <c r="A920" s="2"/>
      <c r="B920" s="2"/>
      <c r="C920" s="3"/>
      <c r="D920" s="2"/>
      <c r="E920" s="2"/>
      <c r="F920" s="2"/>
      <c r="G920" s="9"/>
    </row>
    <row r="921" spans="1:7" x14ac:dyDescent="0.25">
      <c r="A921" s="2"/>
      <c r="B921" s="2"/>
      <c r="C921" s="3"/>
      <c r="D921" s="2"/>
      <c r="E921" s="2"/>
      <c r="F921" s="2"/>
      <c r="G921" s="9"/>
    </row>
    <row r="922" spans="1:7" x14ac:dyDescent="0.25">
      <c r="A922" s="2"/>
      <c r="B922" s="2"/>
      <c r="C922" s="3"/>
      <c r="D922" s="2"/>
      <c r="E922" s="2"/>
      <c r="F922" s="2"/>
      <c r="G922" s="9"/>
    </row>
    <row r="923" spans="1:7" x14ac:dyDescent="0.25">
      <c r="A923" s="2"/>
      <c r="B923" s="2"/>
      <c r="C923" s="3"/>
      <c r="D923" s="2"/>
      <c r="E923" s="2"/>
      <c r="F923" s="2"/>
      <c r="G923" s="9"/>
    </row>
    <row r="924" spans="1:7" x14ac:dyDescent="0.25">
      <c r="A924" s="2"/>
      <c r="B924" s="2"/>
      <c r="C924" s="3"/>
      <c r="D924" s="2"/>
      <c r="E924" s="2"/>
      <c r="F924" s="2"/>
      <c r="G924" s="9"/>
    </row>
    <row r="925" spans="1:7" x14ac:dyDescent="0.25">
      <c r="A925" s="2"/>
      <c r="B925" s="2"/>
      <c r="C925" s="3"/>
      <c r="D925" s="2"/>
      <c r="E925" s="2"/>
      <c r="F925" s="2"/>
      <c r="G925" s="9"/>
    </row>
    <row r="926" spans="1:7" x14ac:dyDescent="0.25">
      <c r="A926" s="2"/>
      <c r="B926" s="2"/>
      <c r="C926" s="3"/>
      <c r="D926" s="2"/>
      <c r="E926" s="2"/>
      <c r="F926" s="2"/>
      <c r="G926" s="9"/>
    </row>
    <row r="927" spans="1:7" x14ac:dyDescent="0.25">
      <c r="A927" s="2"/>
      <c r="B927" s="2"/>
      <c r="C927" s="3"/>
      <c r="D927" s="2"/>
      <c r="E927" s="2"/>
      <c r="F927" s="2"/>
      <c r="G927" s="9"/>
    </row>
    <row r="928" spans="1:7" x14ac:dyDescent="0.25">
      <c r="A928" s="2"/>
      <c r="B928" s="2"/>
      <c r="C928" s="3"/>
      <c r="D928" s="2"/>
      <c r="E928" s="2"/>
      <c r="F928" s="2"/>
      <c r="G928" s="9"/>
    </row>
    <row r="929" spans="1:7" x14ac:dyDescent="0.25">
      <c r="A929" s="2"/>
      <c r="B929" s="2"/>
      <c r="C929" s="3"/>
      <c r="D929" s="2"/>
      <c r="E929" s="2"/>
      <c r="F929" s="2"/>
      <c r="G929" s="9"/>
    </row>
    <row r="930" spans="1:7" x14ac:dyDescent="0.25">
      <c r="A930" s="2"/>
      <c r="B930" s="2"/>
      <c r="C930" s="3"/>
      <c r="D930" s="2"/>
      <c r="E930" s="2"/>
      <c r="F930" s="2"/>
      <c r="G930" s="9"/>
    </row>
    <row r="931" spans="1:7" x14ac:dyDescent="0.25">
      <c r="A931" s="2"/>
      <c r="B931" s="2"/>
      <c r="C931" s="3"/>
      <c r="D931" s="2"/>
      <c r="E931" s="2"/>
      <c r="F931" s="2"/>
      <c r="G931" s="9"/>
    </row>
    <row r="932" spans="1:7" x14ac:dyDescent="0.25">
      <c r="A932" s="2"/>
      <c r="B932" s="2"/>
      <c r="C932" s="3"/>
      <c r="D932" s="2"/>
      <c r="E932" s="2"/>
      <c r="F932" s="2"/>
      <c r="G932" s="9"/>
    </row>
    <row r="933" spans="1:7" x14ac:dyDescent="0.25">
      <c r="A933" s="2"/>
      <c r="B933" s="2"/>
      <c r="C933" s="3"/>
      <c r="D933" s="2"/>
      <c r="E933" s="2"/>
      <c r="F933" s="2"/>
      <c r="G933" s="9"/>
    </row>
    <row r="934" spans="1:7" x14ac:dyDescent="0.25">
      <c r="A934" s="2"/>
      <c r="B934" s="2"/>
      <c r="C934" s="3"/>
      <c r="D934" s="2"/>
      <c r="E934" s="2"/>
      <c r="F934" s="2"/>
      <c r="G934" s="9"/>
    </row>
    <row r="935" spans="1:7" x14ac:dyDescent="0.25">
      <c r="A935" s="2"/>
      <c r="B935" s="2"/>
      <c r="C935" s="3"/>
      <c r="D935" s="2"/>
      <c r="E935" s="2"/>
      <c r="F935" s="2"/>
      <c r="G935" s="9"/>
    </row>
    <row r="936" spans="1:7" x14ac:dyDescent="0.25">
      <c r="A936" s="2"/>
      <c r="B936" s="2"/>
      <c r="C936" s="3"/>
      <c r="D936" s="2"/>
      <c r="E936" s="2"/>
      <c r="F936" s="2"/>
      <c r="G936" s="9"/>
    </row>
    <row r="937" spans="1:7" x14ac:dyDescent="0.25">
      <c r="A937" s="2"/>
      <c r="B937" s="2"/>
      <c r="C937" s="3"/>
      <c r="D937" s="2"/>
      <c r="E937" s="2"/>
      <c r="F937" s="2"/>
      <c r="G937" s="9"/>
    </row>
    <row r="938" spans="1:7" x14ac:dyDescent="0.25">
      <c r="A938" s="2"/>
      <c r="B938" s="2"/>
      <c r="C938" s="3"/>
      <c r="D938" s="2"/>
      <c r="E938" s="2"/>
      <c r="F938" s="2"/>
      <c r="G938" s="9"/>
    </row>
    <row r="939" spans="1:7" x14ac:dyDescent="0.25">
      <c r="A939" s="2"/>
      <c r="B939" s="2"/>
      <c r="C939" s="3"/>
      <c r="D939" s="2"/>
      <c r="E939" s="2"/>
      <c r="F939" s="2"/>
      <c r="G939" s="9"/>
    </row>
    <row r="940" spans="1:7" x14ac:dyDescent="0.25">
      <c r="A940" s="2"/>
      <c r="B940" s="2"/>
      <c r="C940" s="3"/>
      <c r="D940" s="2"/>
      <c r="E940" s="2"/>
      <c r="F940" s="2"/>
      <c r="G940" s="9"/>
    </row>
    <row r="941" spans="1:7" x14ac:dyDescent="0.25">
      <c r="A941" s="2"/>
      <c r="B941" s="2"/>
      <c r="C941" s="3"/>
      <c r="D941" s="2"/>
      <c r="E941" s="2"/>
      <c r="F941" s="2"/>
      <c r="G941" s="9"/>
    </row>
    <row r="942" spans="1:7" x14ac:dyDescent="0.25">
      <c r="A942" s="2"/>
      <c r="B942" s="2"/>
      <c r="C942" s="3"/>
      <c r="D942" s="2"/>
      <c r="E942" s="2"/>
      <c r="F942" s="2"/>
      <c r="G942" s="9"/>
    </row>
    <row r="943" spans="1:7" x14ac:dyDescent="0.25">
      <c r="A943" s="2"/>
      <c r="B943" s="2"/>
      <c r="C943" s="3"/>
      <c r="D943" s="2"/>
      <c r="E943" s="2"/>
      <c r="F943" s="2"/>
      <c r="G943" s="9"/>
    </row>
    <row r="944" spans="1:7" x14ac:dyDescent="0.25">
      <c r="A944" s="2"/>
      <c r="B944" s="2"/>
      <c r="C944" s="3"/>
      <c r="D944" s="2"/>
      <c r="E944" s="2"/>
      <c r="F944" s="2"/>
      <c r="G944" s="9"/>
    </row>
    <row r="945" spans="1:7" x14ac:dyDescent="0.25">
      <c r="A945" s="2"/>
      <c r="B945" s="2"/>
      <c r="C945" s="3"/>
      <c r="D945" s="2"/>
      <c r="E945" s="2"/>
      <c r="F945" s="2"/>
      <c r="G945" s="9"/>
    </row>
    <row r="946" spans="1:7" x14ac:dyDescent="0.25">
      <c r="A946" s="2"/>
      <c r="B946" s="2"/>
      <c r="C946" s="3"/>
      <c r="D946" s="2"/>
      <c r="E946" s="2"/>
      <c r="F946" s="2"/>
      <c r="G946" s="9"/>
    </row>
    <row r="947" spans="1:7" x14ac:dyDescent="0.25">
      <c r="A947" s="2"/>
      <c r="B947" s="2"/>
      <c r="C947" s="3"/>
      <c r="D947" s="2"/>
      <c r="E947" s="2"/>
      <c r="F947" s="2"/>
      <c r="G947" s="9"/>
    </row>
    <row r="948" spans="1:7" x14ac:dyDescent="0.25">
      <c r="A948" s="2"/>
      <c r="B948" s="2"/>
      <c r="C948" s="3"/>
      <c r="D948" s="2"/>
      <c r="E948" s="2"/>
      <c r="F948" s="2"/>
      <c r="G948" s="9"/>
    </row>
    <row r="949" spans="1:7" x14ac:dyDescent="0.25">
      <c r="A949" s="2"/>
      <c r="B949" s="2"/>
      <c r="C949" s="3"/>
      <c r="D949" s="2"/>
      <c r="E949" s="2"/>
      <c r="F949" s="2"/>
      <c r="G949" s="9"/>
    </row>
    <row r="950" spans="1:7" x14ac:dyDescent="0.25">
      <c r="A950" s="2"/>
      <c r="B950" s="2"/>
      <c r="C950" s="3"/>
      <c r="D950" s="2"/>
      <c r="E950" s="2"/>
      <c r="F950" s="2"/>
      <c r="G950" s="9"/>
    </row>
    <row r="951" spans="1:7" x14ac:dyDescent="0.25">
      <c r="A951" s="2"/>
      <c r="B951" s="2"/>
      <c r="C951" s="3"/>
      <c r="D951" s="2"/>
      <c r="E951" s="2"/>
      <c r="F951" s="2"/>
      <c r="G951" s="9"/>
    </row>
    <row r="952" spans="1:7" x14ac:dyDescent="0.25">
      <c r="A952" s="2"/>
      <c r="B952" s="2"/>
      <c r="C952" s="3"/>
      <c r="D952" s="2"/>
      <c r="E952" s="2"/>
      <c r="F952" s="2"/>
      <c r="G952" s="9"/>
    </row>
    <row r="953" spans="1:7" x14ac:dyDescent="0.25">
      <c r="A953" s="2"/>
      <c r="B953" s="2"/>
      <c r="C953" s="3"/>
      <c r="D953" s="2"/>
      <c r="E953" s="2"/>
      <c r="F953" s="2"/>
      <c r="G953" s="9"/>
    </row>
    <row r="954" spans="1:7" x14ac:dyDescent="0.25">
      <c r="A954" s="2"/>
      <c r="B954" s="2"/>
      <c r="C954" s="3"/>
      <c r="D954" s="2"/>
      <c r="E954" s="2"/>
      <c r="F954" s="2"/>
      <c r="G954" s="9"/>
    </row>
    <row r="955" spans="1:7" x14ac:dyDescent="0.25">
      <c r="A955" s="2"/>
      <c r="B955" s="2"/>
      <c r="C955" s="3"/>
      <c r="D955" s="2"/>
      <c r="E955" s="2"/>
      <c r="F955" s="2"/>
      <c r="G955" s="9"/>
    </row>
    <row r="956" spans="1:7" x14ac:dyDescent="0.25">
      <c r="A956" s="2"/>
      <c r="B956" s="2"/>
      <c r="C956" s="3"/>
      <c r="D956" s="2"/>
      <c r="E956" s="2"/>
      <c r="F956" s="2"/>
      <c r="G956" s="9"/>
    </row>
    <row r="957" spans="1:7" x14ac:dyDescent="0.25">
      <c r="A957" s="2"/>
      <c r="B957" s="2"/>
      <c r="C957" s="3"/>
      <c r="D957" s="2"/>
      <c r="E957" s="2"/>
      <c r="F957" s="2"/>
      <c r="G957" s="9"/>
    </row>
    <row r="958" spans="1:7" x14ac:dyDescent="0.25">
      <c r="A958" s="2"/>
      <c r="B958" s="2"/>
      <c r="C958" s="3"/>
      <c r="D958" s="2"/>
      <c r="E958" s="2"/>
      <c r="F958" s="2"/>
      <c r="G958" s="9"/>
    </row>
    <row r="959" spans="1:7" x14ac:dyDescent="0.25">
      <c r="A959" s="2"/>
      <c r="B959" s="2"/>
      <c r="C959" s="3"/>
      <c r="D959" s="2"/>
      <c r="E959" s="2"/>
      <c r="F959" s="2"/>
      <c r="G959" s="9"/>
    </row>
    <row r="960" spans="1:7" x14ac:dyDescent="0.25">
      <c r="A960" s="2"/>
      <c r="B960" s="2"/>
      <c r="C960" s="3"/>
      <c r="D960" s="2"/>
      <c r="E960" s="2"/>
      <c r="F960" s="2"/>
      <c r="G960" s="9"/>
    </row>
    <row r="961" spans="1:7" x14ac:dyDescent="0.25">
      <c r="A961" s="2"/>
      <c r="B961" s="2"/>
      <c r="C961" s="3"/>
      <c r="D961" s="2"/>
      <c r="E961" s="2"/>
      <c r="F961" s="2"/>
      <c r="G961" s="9"/>
    </row>
    <row r="962" spans="1:7" x14ac:dyDescent="0.25">
      <c r="A962" s="2"/>
      <c r="B962" s="2"/>
      <c r="C962" s="3"/>
      <c r="D962" s="2"/>
      <c r="E962" s="2"/>
      <c r="F962" s="2"/>
      <c r="G962" s="9"/>
    </row>
    <row r="963" spans="1:7" x14ac:dyDescent="0.25">
      <c r="A963" s="2"/>
      <c r="B963" s="2"/>
      <c r="C963" s="3"/>
      <c r="D963" s="2"/>
      <c r="E963" s="2"/>
      <c r="F963" s="2"/>
      <c r="G963" s="9"/>
    </row>
    <row r="964" spans="1:7" x14ac:dyDescent="0.25">
      <c r="A964" s="2"/>
      <c r="B964" s="2"/>
      <c r="C964" s="3"/>
      <c r="D964" s="2"/>
      <c r="E964" s="2"/>
      <c r="F964" s="2"/>
      <c r="G964" s="9"/>
    </row>
    <row r="965" spans="1:7" x14ac:dyDescent="0.25">
      <c r="A965" s="2"/>
      <c r="B965" s="2"/>
      <c r="C965" s="3"/>
      <c r="D965" s="2"/>
      <c r="E965" s="2"/>
      <c r="F965" s="2"/>
      <c r="G965" s="9"/>
    </row>
    <row r="966" spans="1:7" x14ac:dyDescent="0.25">
      <c r="A966" s="2"/>
      <c r="B966" s="2"/>
      <c r="C966" s="3"/>
      <c r="D966" s="2"/>
      <c r="E966" s="2"/>
      <c r="F966" s="2"/>
      <c r="G966" s="9"/>
    </row>
    <row r="967" spans="1:7" x14ac:dyDescent="0.25">
      <c r="A967" s="2"/>
      <c r="B967" s="2"/>
      <c r="C967" s="3"/>
      <c r="D967" s="2"/>
      <c r="E967" s="2"/>
      <c r="F967" s="2"/>
      <c r="G967" s="9"/>
    </row>
    <row r="968" spans="1:7" x14ac:dyDescent="0.25">
      <c r="A968" s="2"/>
      <c r="B968" s="2"/>
      <c r="C968" s="3"/>
      <c r="D968" s="2"/>
      <c r="E968" s="2"/>
      <c r="F968" s="2"/>
      <c r="G968" s="9"/>
    </row>
    <row r="969" spans="1:7" x14ac:dyDescent="0.25">
      <c r="A969" s="2"/>
      <c r="B969" s="2"/>
      <c r="C969" s="3"/>
      <c r="D969" s="2"/>
      <c r="E969" s="2"/>
      <c r="F969" s="2"/>
      <c r="G969" s="9"/>
    </row>
    <row r="970" spans="1:7" x14ac:dyDescent="0.25">
      <c r="A970" s="2"/>
      <c r="B970" s="2"/>
      <c r="C970" s="3"/>
      <c r="D970" s="2"/>
      <c r="E970" s="2"/>
      <c r="F970" s="2"/>
      <c r="G970" s="9"/>
    </row>
    <row r="971" spans="1:7" x14ac:dyDescent="0.25">
      <c r="A971" s="2"/>
      <c r="B971" s="2"/>
      <c r="C971" s="3"/>
      <c r="D971" s="2"/>
      <c r="E971" s="2"/>
      <c r="F971" s="2"/>
      <c r="G971" s="9"/>
    </row>
    <row r="972" spans="1:7" x14ac:dyDescent="0.25">
      <c r="A972" s="2"/>
      <c r="B972" s="2"/>
      <c r="C972" s="3"/>
      <c r="D972" s="2"/>
      <c r="E972" s="2"/>
      <c r="F972" s="2"/>
      <c r="G972" s="9"/>
    </row>
    <row r="973" spans="1:7" x14ac:dyDescent="0.25">
      <c r="A973" s="2"/>
      <c r="B973" s="2"/>
      <c r="C973" s="3"/>
      <c r="D973" s="2"/>
      <c r="E973" s="2"/>
      <c r="F973" s="2"/>
      <c r="G973" s="9"/>
    </row>
    <row r="974" spans="1:7" x14ac:dyDescent="0.25">
      <c r="A974" s="2"/>
      <c r="B974" s="2"/>
      <c r="C974" s="3"/>
      <c r="D974" s="2"/>
      <c r="E974" s="2"/>
      <c r="F974" s="2"/>
      <c r="G974" s="9"/>
    </row>
    <row r="975" spans="1:7" x14ac:dyDescent="0.25">
      <c r="A975" s="2"/>
      <c r="B975" s="2"/>
      <c r="C975" s="3"/>
      <c r="D975" s="2"/>
      <c r="E975" s="2"/>
      <c r="F975" s="2"/>
      <c r="G975" s="9"/>
    </row>
    <row r="976" spans="1:7" x14ac:dyDescent="0.25">
      <c r="A976" s="2"/>
      <c r="B976" s="2"/>
      <c r="C976" s="3"/>
      <c r="D976" s="2"/>
      <c r="E976" s="2"/>
      <c r="F976" s="2"/>
      <c r="G976" s="9"/>
    </row>
    <row r="977" spans="1:7" x14ac:dyDescent="0.25">
      <c r="A977" s="2"/>
      <c r="B977" s="2"/>
      <c r="C977" s="3"/>
      <c r="D977" s="2"/>
      <c r="E977" s="2"/>
      <c r="F977" s="2"/>
      <c r="G977" s="9"/>
    </row>
    <row r="978" spans="1:7" x14ac:dyDescent="0.25">
      <c r="A978" s="2"/>
      <c r="B978" s="2"/>
      <c r="C978" s="3"/>
      <c r="D978" s="2"/>
      <c r="E978" s="2"/>
      <c r="F978" s="2"/>
      <c r="G978" s="9"/>
    </row>
    <row r="979" spans="1:7" x14ac:dyDescent="0.25">
      <c r="A979" s="2"/>
      <c r="B979" s="2"/>
      <c r="C979" s="3"/>
      <c r="D979" s="2"/>
      <c r="E979" s="2"/>
      <c r="F979" s="2"/>
      <c r="G979" s="9"/>
    </row>
    <row r="980" spans="1:7" x14ac:dyDescent="0.25">
      <c r="A980" s="2"/>
      <c r="B980" s="2"/>
      <c r="C980" s="3"/>
      <c r="D980" s="2"/>
      <c r="E980" s="2"/>
      <c r="F980" s="2"/>
      <c r="G980" s="9"/>
    </row>
    <row r="981" spans="1:7" x14ac:dyDescent="0.25">
      <c r="A981" s="2"/>
      <c r="B981" s="2"/>
      <c r="C981" s="3"/>
      <c r="D981" s="2"/>
      <c r="E981" s="2"/>
      <c r="F981" s="2"/>
      <c r="G981" s="9"/>
    </row>
    <row r="982" spans="1:7" x14ac:dyDescent="0.25">
      <c r="A982" s="2"/>
      <c r="B982" s="2"/>
      <c r="C982" s="3"/>
      <c r="D982" s="2"/>
      <c r="E982" s="2"/>
      <c r="F982" s="2"/>
      <c r="G982" s="9"/>
    </row>
    <row r="983" spans="1:7" x14ac:dyDescent="0.25">
      <c r="A983" s="2"/>
      <c r="B983" s="2"/>
      <c r="C983" s="3"/>
      <c r="D983" s="2"/>
      <c r="E983" s="2"/>
      <c r="F983" s="2"/>
      <c r="G983" s="9"/>
    </row>
    <row r="984" spans="1:7" x14ac:dyDescent="0.25">
      <c r="A984" s="2"/>
      <c r="B984" s="2"/>
      <c r="C984" s="3"/>
      <c r="D984" s="2"/>
      <c r="E984" s="2"/>
      <c r="F984" s="2"/>
      <c r="G984" s="9"/>
    </row>
    <row r="985" spans="1:7" x14ac:dyDescent="0.25">
      <c r="A985" s="2"/>
      <c r="B985" s="2"/>
      <c r="C985" s="3"/>
      <c r="D985" s="2"/>
      <c r="E985" s="2"/>
      <c r="F985" s="2"/>
      <c r="G985" s="9"/>
    </row>
    <row r="986" spans="1:7" x14ac:dyDescent="0.25">
      <c r="A986" s="2"/>
      <c r="B986" s="2"/>
      <c r="C986" s="3"/>
      <c r="D986" s="2"/>
      <c r="E986" s="2"/>
      <c r="F986" s="2"/>
      <c r="G986" s="9"/>
    </row>
    <row r="987" spans="1:7" x14ac:dyDescent="0.25">
      <c r="A987" s="2"/>
      <c r="B987" s="2"/>
      <c r="C987" s="3"/>
      <c r="D987" s="2"/>
      <c r="E987" s="2"/>
      <c r="F987" s="2"/>
      <c r="G987" s="9"/>
    </row>
    <row r="988" spans="1:7" x14ac:dyDescent="0.25">
      <c r="A988" s="2"/>
      <c r="B988" s="2"/>
      <c r="C988" s="3"/>
      <c r="D988" s="2"/>
      <c r="E988" s="2"/>
      <c r="F988" s="2"/>
      <c r="G988" s="9"/>
    </row>
    <row r="989" spans="1:7" x14ac:dyDescent="0.25">
      <c r="A989" s="2"/>
      <c r="B989" s="2"/>
      <c r="C989" s="3"/>
      <c r="D989" s="2"/>
      <c r="E989" s="2"/>
      <c r="F989" s="2"/>
      <c r="G989" s="9"/>
    </row>
    <row r="990" spans="1:7" x14ac:dyDescent="0.25">
      <c r="A990" s="2"/>
      <c r="B990" s="2"/>
      <c r="C990" s="3"/>
      <c r="D990" s="2"/>
      <c r="E990" s="2"/>
      <c r="F990" s="2"/>
      <c r="G990" s="9"/>
    </row>
    <row r="991" spans="1:7" x14ac:dyDescent="0.25">
      <c r="A991" s="2"/>
      <c r="B991" s="2"/>
      <c r="C991" s="3"/>
      <c r="D991" s="2"/>
      <c r="E991" s="2"/>
      <c r="F991" s="2"/>
      <c r="G991" s="9"/>
    </row>
    <row r="992" spans="1:7" x14ac:dyDescent="0.25">
      <c r="A992" s="2"/>
      <c r="B992" s="2"/>
      <c r="C992" s="3"/>
      <c r="D992" s="2"/>
      <c r="E992" s="2"/>
      <c r="F992" s="2"/>
      <c r="G992" s="9"/>
    </row>
    <row r="993" spans="1:7" x14ac:dyDescent="0.25">
      <c r="A993" s="2"/>
      <c r="B993" s="2"/>
      <c r="C993" s="3"/>
      <c r="D993" s="2"/>
      <c r="E993" s="2"/>
      <c r="F993" s="2"/>
      <c r="G993" s="9"/>
    </row>
    <row r="994" spans="1:7" x14ac:dyDescent="0.25">
      <c r="A994" s="2"/>
      <c r="B994" s="2"/>
      <c r="C994" s="3"/>
      <c r="D994" s="2"/>
      <c r="E994" s="2"/>
      <c r="F994" s="2"/>
      <c r="G994" s="9"/>
    </row>
    <row r="995" spans="1:7" x14ac:dyDescent="0.25">
      <c r="A995" s="2"/>
      <c r="B995" s="2"/>
      <c r="C995" s="3"/>
      <c r="D995" s="2"/>
      <c r="E995" s="2"/>
      <c r="F995" s="2"/>
      <c r="G995" s="9"/>
    </row>
    <row r="996" spans="1:7" x14ac:dyDescent="0.25">
      <c r="A996" s="2"/>
      <c r="B996" s="2"/>
      <c r="C996" s="3"/>
      <c r="D996" s="2"/>
      <c r="E996" s="2"/>
      <c r="F996" s="2"/>
      <c r="G996" s="9"/>
    </row>
    <row r="997" spans="1:7" x14ac:dyDescent="0.25">
      <c r="A997" s="2"/>
      <c r="B997" s="2"/>
      <c r="C997" s="3"/>
      <c r="D997" s="2"/>
      <c r="E997" s="2"/>
      <c r="F997" s="2"/>
      <c r="G997" s="9"/>
    </row>
    <row r="998" spans="1:7" x14ac:dyDescent="0.25">
      <c r="A998" s="2"/>
      <c r="B998" s="2"/>
      <c r="C998" s="3"/>
      <c r="D998" s="2"/>
      <c r="E998" s="2"/>
      <c r="F998" s="2"/>
      <c r="G998" s="9"/>
    </row>
    <row r="999" spans="1:7" x14ac:dyDescent="0.25">
      <c r="A999" s="2"/>
      <c r="B999" s="2"/>
      <c r="C999" s="3"/>
      <c r="D999" s="2"/>
      <c r="E999" s="2"/>
      <c r="F999" s="2"/>
      <c r="G999" s="9"/>
    </row>
    <row r="1000" spans="1:7" x14ac:dyDescent="0.25">
      <c r="A1000" s="2"/>
      <c r="B1000" s="2"/>
      <c r="C1000" s="3"/>
      <c r="D1000" s="2"/>
      <c r="E1000" s="2"/>
      <c r="F1000" s="2"/>
      <c r="G1000" s="9"/>
    </row>
    <row r="1001" spans="1:7" x14ac:dyDescent="0.25">
      <c r="A1001" s="2"/>
      <c r="B1001" s="2"/>
      <c r="C1001" s="3"/>
      <c r="D1001" s="2"/>
      <c r="E1001" s="2"/>
      <c r="F1001" s="2"/>
      <c r="G1001" s="9"/>
    </row>
    <row r="1002" spans="1:7" x14ac:dyDescent="0.25">
      <c r="A1002" s="2"/>
      <c r="B1002" s="2"/>
      <c r="C1002" s="3"/>
      <c r="D1002" s="2"/>
      <c r="E1002" s="2"/>
      <c r="F1002" s="2"/>
      <c r="G1002" s="9"/>
    </row>
    <row r="1003" spans="1:7" x14ac:dyDescent="0.25">
      <c r="A1003" s="2"/>
      <c r="B1003" s="2"/>
      <c r="C1003" s="3"/>
      <c r="D1003" s="2"/>
      <c r="E1003" s="2"/>
      <c r="F1003" s="2"/>
      <c r="G1003" s="9"/>
    </row>
    <row r="1004" spans="1:7" x14ac:dyDescent="0.25">
      <c r="A1004" s="2"/>
      <c r="B1004" s="2"/>
      <c r="C1004" s="3"/>
      <c r="D1004" s="2"/>
      <c r="E1004" s="2"/>
      <c r="F1004" s="2"/>
      <c r="G1004" s="9"/>
    </row>
    <row r="1005" spans="1:7" x14ac:dyDescent="0.25">
      <c r="A1005" s="2"/>
      <c r="B1005" s="2"/>
      <c r="C1005" s="3"/>
      <c r="D1005" s="2"/>
      <c r="E1005" s="2"/>
      <c r="F1005" s="2"/>
      <c r="G1005" s="9"/>
    </row>
    <row r="1006" spans="1:7" x14ac:dyDescent="0.25">
      <c r="A1006" s="2"/>
      <c r="B1006" s="2"/>
      <c r="C1006" s="3"/>
      <c r="D1006" s="2"/>
      <c r="E1006" s="2"/>
      <c r="F1006" s="2"/>
      <c r="G1006" s="9"/>
    </row>
    <row r="1007" spans="1:7" x14ac:dyDescent="0.25">
      <c r="A1007" s="2"/>
      <c r="B1007" s="2"/>
      <c r="C1007" s="3"/>
      <c r="D1007" s="2"/>
      <c r="E1007" s="2"/>
      <c r="F1007" s="2"/>
      <c r="G1007" s="9"/>
    </row>
    <row r="1008" spans="1:7" x14ac:dyDescent="0.25">
      <c r="A1008" s="2"/>
      <c r="B1008" s="2"/>
      <c r="C1008" s="3"/>
      <c r="D1008" s="2"/>
      <c r="E1008" s="2"/>
      <c r="F1008" s="2"/>
      <c r="G1008" s="9"/>
    </row>
    <row r="1009" spans="1:7" x14ac:dyDescent="0.25">
      <c r="A1009" s="2"/>
      <c r="B1009" s="2"/>
      <c r="C1009" s="3"/>
      <c r="D1009" s="2"/>
      <c r="E1009" s="2"/>
      <c r="F1009" s="2"/>
      <c r="G1009" s="9"/>
    </row>
    <row r="1010" spans="1:7" x14ac:dyDescent="0.25">
      <c r="A1010" s="2"/>
      <c r="B1010" s="2"/>
      <c r="C1010" s="3"/>
      <c r="D1010" s="2"/>
      <c r="E1010" s="2"/>
      <c r="F1010" s="2"/>
      <c r="G1010" s="9"/>
    </row>
    <row r="1011" spans="1:7" x14ac:dyDescent="0.25">
      <c r="A1011" s="2"/>
      <c r="B1011" s="2"/>
      <c r="C1011" s="3"/>
      <c r="D1011" s="2"/>
      <c r="E1011" s="2"/>
      <c r="F1011" s="2"/>
      <c r="G1011" s="9"/>
    </row>
    <row r="1012" spans="1:7" x14ac:dyDescent="0.25">
      <c r="A1012" s="2"/>
      <c r="B1012" s="2"/>
      <c r="C1012" s="3"/>
      <c r="D1012" s="2"/>
      <c r="E1012" s="2"/>
      <c r="F1012" s="2"/>
      <c r="G1012" s="9"/>
    </row>
    <row r="1013" spans="1:7" x14ac:dyDescent="0.25">
      <c r="A1013" s="2"/>
      <c r="B1013" s="2"/>
      <c r="C1013" s="3"/>
      <c r="D1013" s="2"/>
      <c r="E1013" s="2"/>
      <c r="F1013" s="2"/>
      <c r="G1013" s="9"/>
    </row>
    <row r="1014" spans="1:7" x14ac:dyDescent="0.25">
      <c r="A1014" s="2"/>
      <c r="B1014" s="2"/>
      <c r="C1014" s="3"/>
      <c r="D1014" s="2"/>
      <c r="E1014" s="2"/>
      <c r="F1014" s="2"/>
      <c r="G1014" s="9"/>
    </row>
    <row r="1015" spans="1:7" x14ac:dyDescent="0.25">
      <c r="A1015" s="2"/>
      <c r="B1015" s="2"/>
      <c r="C1015" s="3"/>
      <c r="D1015" s="2"/>
      <c r="E1015" s="2"/>
      <c r="F1015" s="2"/>
      <c r="G1015" s="9"/>
    </row>
    <row r="1016" spans="1:7" x14ac:dyDescent="0.25">
      <c r="A1016" s="2"/>
      <c r="B1016" s="2"/>
      <c r="C1016" s="3"/>
      <c r="D1016" s="2"/>
      <c r="E1016" s="2"/>
      <c r="F1016" s="2"/>
      <c r="G1016" s="9"/>
    </row>
    <row r="1017" spans="1:7" x14ac:dyDescent="0.25">
      <c r="A1017" s="2"/>
      <c r="B1017" s="2"/>
      <c r="C1017" s="3"/>
      <c r="D1017" s="2"/>
      <c r="E1017" s="2"/>
      <c r="F1017" s="2"/>
      <c r="G1017" s="9"/>
    </row>
    <row r="1018" spans="1:7" x14ac:dyDescent="0.25">
      <c r="A1018" s="2"/>
      <c r="B1018" s="2"/>
      <c r="C1018" s="3"/>
      <c r="D1018" s="2"/>
      <c r="E1018" s="2"/>
      <c r="F1018" s="2"/>
      <c r="G1018" s="9"/>
    </row>
    <row r="1019" spans="1:7" x14ac:dyDescent="0.25">
      <c r="A1019" s="2"/>
      <c r="B1019" s="2"/>
      <c r="C1019" s="3"/>
      <c r="D1019" s="2"/>
      <c r="E1019" s="2"/>
      <c r="F1019" s="2"/>
      <c r="G1019" s="9"/>
    </row>
    <row r="1020" spans="1:7" x14ac:dyDescent="0.25">
      <c r="A1020" s="2"/>
      <c r="B1020" s="2"/>
      <c r="C1020" s="3"/>
      <c r="D1020" s="2"/>
      <c r="E1020" s="2"/>
      <c r="F1020" s="2"/>
      <c r="G1020" s="9"/>
    </row>
    <row r="1021" spans="1:7" x14ac:dyDescent="0.25">
      <c r="A1021" s="2"/>
      <c r="B1021" s="2"/>
      <c r="C1021" s="3"/>
      <c r="D1021" s="2"/>
      <c r="E1021" s="2"/>
      <c r="F1021" s="2"/>
      <c r="G1021" s="9"/>
    </row>
    <row r="1022" spans="1:7" x14ac:dyDescent="0.25">
      <c r="A1022" s="2"/>
      <c r="B1022" s="2"/>
      <c r="C1022" s="3"/>
      <c r="D1022" s="2"/>
      <c r="E1022" s="2"/>
      <c r="F1022" s="2"/>
      <c r="G1022" s="9"/>
    </row>
    <row r="1023" spans="1:7" x14ac:dyDescent="0.25">
      <c r="A1023" s="2"/>
      <c r="B1023" s="2"/>
      <c r="C1023" s="3"/>
      <c r="D1023" s="2"/>
      <c r="E1023" s="2"/>
      <c r="F1023" s="2"/>
      <c r="G1023" s="9"/>
    </row>
    <row r="1024" spans="1:7" x14ac:dyDescent="0.25">
      <c r="A1024" s="2"/>
      <c r="B1024" s="2"/>
      <c r="C1024" s="3"/>
      <c r="D1024" s="2"/>
      <c r="E1024" s="2"/>
      <c r="F1024" s="2"/>
      <c r="G1024" s="9"/>
    </row>
    <row r="1025" spans="1:7" x14ac:dyDescent="0.25">
      <c r="A1025" s="2"/>
      <c r="B1025" s="2"/>
      <c r="C1025" s="3"/>
      <c r="D1025" s="2"/>
      <c r="E1025" s="2"/>
      <c r="F1025" s="2"/>
      <c r="G1025" s="9"/>
    </row>
    <row r="1026" spans="1:7" x14ac:dyDescent="0.25">
      <c r="A1026" s="2"/>
      <c r="B1026" s="2"/>
      <c r="C1026" s="3"/>
      <c r="D1026" s="2"/>
      <c r="E1026" s="2"/>
      <c r="F1026" s="2"/>
      <c r="G1026" s="9"/>
    </row>
    <row r="1027" spans="1:7" x14ac:dyDescent="0.25">
      <c r="A1027" s="2"/>
      <c r="B1027" s="2"/>
      <c r="C1027" s="3"/>
      <c r="D1027" s="2"/>
      <c r="E1027" s="2"/>
      <c r="F1027" s="2"/>
      <c r="G1027" s="9"/>
    </row>
    <row r="1028" spans="1:7" x14ac:dyDescent="0.25">
      <c r="A1028" s="2"/>
      <c r="B1028" s="2"/>
      <c r="C1028" s="3"/>
      <c r="D1028" s="2"/>
      <c r="E1028" s="2"/>
      <c r="F1028" s="2"/>
      <c r="G1028" s="9"/>
    </row>
    <row r="1029" spans="1:7" x14ac:dyDescent="0.25">
      <c r="A1029" s="2"/>
      <c r="B1029" s="2"/>
      <c r="C1029" s="3"/>
      <c r="D1029" s="2"/>
      <c r="E1029" s="2"/>
      <c r="F1029" s="2"/>
      <c r="G1029" s="9"/>
    </row>
    <row r="1030" spans="1:7" x14ac:dyDescent="0.25">
      <c r="A1030" s="2"/>
      <c r="B1030" s="2"/>
      <c r="C1030" s="3"/>
      <c r="D1030" s="2"/>
      <c r="E1030" s="2"/>
      <c r="F1030" s="2"/>
      <c r="G1030" s="9"/>
    </row>
    <row r="1031" spans="1:7" x14ac:dyDescent="0.25">
      <c r="A1031" s="2"/>
      <c r="B1031" s="2"/>
      <c r="C1031" s="3"/>
      <c r="D1031" s="2"/>
      <c r="E1031" s="2"/>
      <c r="F1031" s="2"/>
      <c r="G1031" s="9"/>
    </row>
    <row r="1032" spans="1:7" x14ac:dyDescent="0.25">
      <c r="A1032" s="2"/>
      <c r="B1032" s="2"/>
      <c r="C1032" s="3"/>
      <c r="D1032" s="2"/>
      <c r="E1032" s="2"/>
      <c r="F1032" s="2"/>
      <c r="G1032" s="9"/>
    </row>
    <row r="1033" spans="1:7" x14ac:dyDescent="0.25">
      <c r="A1033" s="2"/>
      <c r="B1033" s="2"/>
      <c r="C1033" s="3"/>
      <c r="D1033" s="2"/>
      <c r="E1033" s="2"/>
      <c r="F1033" s="2"/>
      <c r="G1033" s="9"/>
    </row>
    <row r="1034" spans="1:7" x14ac:dyDescent="0.25">
      <c r="A1034" s="2"/>
      <c r="B1034" s="2"/>
      <c r="C1034" s="3"/>
      <c r="D1034" s="2"/>
      <c r="E1034" s="2"/>
      <c r="F1034" s="2"/>
      <c r="G1034" s="9"/>
    </row>
    <row r="1035" spans="1:7" x14ac:dyDescent="0.25">
      <c r="A1035" s="2"/>
      <c r="B1035" s="2"/>
      <c r="C1035" s="3"/>
      <c r="D1035" s="2"/>
      <c r="E1035" s="2"/>
      <c r="F1035" s="2"/>
      <c r="G1035" s="9"/>
    </row>
    <row r="1036" spans="1:7" x14ac:dyDescent="0.25">
      <c r="A1036" s="2"/>
      <c r="B1036" s="2"/>
      <c r="C1036" s="3"/>
      <c r="D1036" s="2"/>
      <c r="E1036" s="2"/>
      <c r="F1036" s="2"/>
      <c r="G1036" s="9"/>
    </row>
    <row r="1037" spans="1:7" x14ac:dyDescent="0.25">
      <c r="A1037" s="2"/>
      <c r="B1037" s="2"/>
      <c r="C1037" s="3"/>
      <c r="D1037" s="2"/>
      <c r="E1037" s="2"/>
      <c r="F1037" s="2"/>
      <c r="G1037" s="9"/>
    </row>
    <row r="1038" spans="1:7" x14ac:dyDescent="0.25">
      <c r="A1038" s="2"/>
      <c r="B1038" s="2"/>
      <c r="C1038" s="3"/>
      <c r="D1038" s="2"/>
      <c r="E1038" s="2"/>
      <c r="F1038" s="2"/>
      <c r="G1038" s="9"/>
    </row>
    <row r="1039" spans="1:7" x14ac:dyDescent="0.25">
      <c r="A1039" s="2"/>
      <c r="B1039" s="2"/>
      <c r="C1039" s="3"/>
      <c r="D1039" s="2"/>
      <c r="E1039" s="2"/>
      <c r="F1039" s="2"/>
      <c r="G1039" s="9"/>
    </row>
    <row r="1040" spans="1:7" x14ac:dyDescent="0.25">
      <c r="A1040" s="2"/>
      <c r="B1040" s="2"/>
      <c r="C1040" s="3"/>
      <c r="D1040" s="2"/>
      <c r="E1040" s="2"/>
      <c r="F1040" s="2"/>
      <c r="G1040" s="9"/>
    </row>
    <row r="1041" spans="1:7" x14ac:dyDescent="0.25">
      <c r="A1041" s="2"/>
      <c r="B1041" s="2"/>
      <c r="C1041" s="3"/>
      <c r="D1041" s="2"/>
      <c r="E1041" s="2"/>
      <c r="F1041" s="2"/>
      <c r="G1041" s="9"/>
    </row>
    <row r="1042" spans="1:7" x14ac:dyDescent="0.25">
      <c r="A1042" s="2"/>
      <c r="B1042" s="2"/>
      <c r="C1042" s="3"/>
      <c r="D1042" s="2"/>
      <c r="E1042" s="2"/>
      <c r="F1042" s="2"/>
      <c r="G1042" s="9"/>
    </row>
    <row r="1043" spans="1:7" x14ac:dyDescent="0.25">
      <c r="A1043" s="2"/>
      <c r="B1043" s="2"/>
      <c r="C1043" s="3"/>
      <c r="D1043" s="2"/>
      <c r="E1043" s="2"/>
      <c r="F1043" s="2"/>
      <c r="G1043" s="9"/>
    </row>
    <row r="1044" spans="1:7" x14ac:dyDescent="0.25">
      <c r="A1044" s="2"/>
      <c r="B1044" s="2"/>
      <c r="C1044" s="3"/>
      <c r="D1044" s="2"/>
      <c r="E1044" s="2"/>
      <c r="F1044" s="2"/>
      <c r="G1044" s="9"/>
    </row>
    <row r="1045" spans="1:7" x14ac:dyDescent="0.25">
      <c r="A1045" s="2"/>
      <c r="B1045" s="2"/>
      <c r="C1045" s="3"/>
      <c r="D1045" s="2"/>
      <c r="E1045" s="2"/>
      <c r="F1045" s="2"/>
      <c r="G1045" s="9"/>
    </row>
    <row r="1046" spans="1:7" x14ac:dyDescent="0.25">
      <c r="A1046" s="2"/>
      <c r="B1046" s="2"/>
      <c r="C1046" s="3"/>
      <c r="D1046" s="2"/>
      <c r="E1046" s="2"/>
      <c r="F1046" s="2"/>
      <c r="G1046" s="9"/>
    </row>
    <row r="1047" spans="1:7" x14ac:dyDescent="0.25">
      <c r="A1047" s="2"/>
      <c r="B1047" s="2"/>
      <c r="C1047" s="3"/>
      <c r="D1047" s="2"/>
      <c r="E1047" s="2"/>
      <c r="F1047" s="2"/>
      <c r="G1047" s="9"/>
    </row>
    <row r="1048" spans="1:7" x14ac:dyDescent="0.25">
      <c r="A1048" s="2"/>
      <c r="B1048" s="2"/>
      <c r="C1048" s="3"/>
      <c r="D1048" s="2"/>
      <c r="E1048" s="2"/>
      <c r="F1048" s="2"/>
      <c r="G1048" s="9"/>
    </row>
    <row r="1049" spans="1:7" x14ac:dyDescent="0.25">
      <c r="A1049" s="2"/>
      <c r="B1049" s="2"/>
      <c r="C1049" s="3"/>
      <c r="D1049" s="2"/>
      <c r="E1049" s="2"/>
      <c r="F1049" s="2"/>
      <c r="G1049" s="9"/>
    </row>
    <row r="1050" spans="1:7" x14ac:dyDescent="0.25">
      <c r="A1050" s="2"/>
      <c r="B1050" s="2"/>
      <c r="C1050" s="3"/>
      <c r="D1050" s="2"/>
      <c r="E1050" s="2"/>
      <c r="F1050" s="2"/>
      <c r="G1050" s="9"/>
    </row>
    <row r="1051" spans="1:7" x14ac:dyDescent="0.25">
      <c r="A1051" s="2"/>
      <c r="B1051" s="2"/>
      <c r="C1051" s="3"/>
      <c r="D1051" s="2"/>
      <c r="E1051" s="2"/>
      <c r="F1051" s="2"/>
      <c r="G1051" s="9"/>
    </row>
    <row r="1052" spans="1:7" x14ac:dyDescent="0.25">
      <c r="A1052" s="2"/>
      <c r="B1052" s="2"/>
      <c r="C1052" s="3"/>
      <c r="D1052" s="2"/>
      <c r="E1052" s="2"/>
      <c r="F1052" s="2"/>
      <c r="G1052" s="9"/>
    </row>
    <row r="1053" spans="1:7" x14ac:dyDescent="0.25">
      <c r="A1053" s="2"/>
      <c r="B1053" s="2"/>
      <c r="C1053" s="3"/>
      <c r="D1053" s="2"/>
      <c r="E1053" s="2"/>
      <c r="F1053" s="2"/>
      <c r="G1053" s="9"/>
    </row>
    <row r="1054" spans="1:7" x14ac:dyDescent="0.25">
      <c r="A1054" s="2"/>
      <c r="B1054" s="2"/>
      <c r="C1054" s="3"/>
      <c r="D1054" s="2"/>
      <c r="E1054" s="2"/>
      <c r="F1054" s="2"/>
      <c r="G1054" s="9"/>
    </row>
    <row r="1055" spans="1:7" x14ac:dyDescent="0.25">
      <c r="A1055" s="2"/>
      <c r="B1055" s="2"/>
      <c r="C1055" s="3"/>
      <c r="D1055" s="2"/>
      <c r="E1055" s="2"/>
      <c r="F1055" s="2"/>
      <c r="G1055" s="9"/>
    </row>
    <row r="1056" spans="1:7" x14ac:dyDescent="0.25">
      <c r="A1056" s="2"/>
      <c r="B1056" s="2"/>
      <c r="C1056" s="3"/>
      <c r="D1056" s="2"/>
      <c r="E1056" s="2"/>
      <c r="F1056" s="2"/>
      <c r="G1056" s="9"/>
    </row>
    <row r="1057" spans="1:7" x14ac:dyDescent="0.25">
      <c r="A1057" s="2"/>
      <c r="B1057" s="2"/>
      <c r="C1057" s="3"/>
      <c r="D1057" s="2"/>
      <c r="E1057" s="2"/>
      <c r="F1057" s="2"/>
      <c r="G1057" s="9"/>
    </row>
    <row r="1058" spans="1:7" x14ac:dyDescent="0.25">
      <c r="A1058" s="2"/>
      <c r="B1058" s="2"/>
      <c r="C1058" s="3"/>
      <c r="D1058" s="2"/>
      <c r="E1058" s="2"/>
      <c r="F1058" s="2"/>
      <c r="G1058" s="9"/>
    </row>
    <row r="1059" spans="1:7" x14ac:dyDescent="0.25">
      <c r="A1059" s="2"/>
      <c r="B1059" s="2"/>
      <c r="C1059" s="3"/>
      <c r="D1059" s="2"/>
      <c r="E1059" s="2"/>
      <c r="F1059" s="2"/>
      <c r="G1059" s="9"/>
    </row>
    <row r="1060" spans="1:7" x14ac:dyDescent="0.25">
      <c r="A1060" s="2"/>
      <c r="B1060" s="2"/>
      <c r="C1060" s="3"/>
      <c r="D1060" s="2"/>
      <c r="E1060" s="2"/>
      <c r="F1060" s="2"/>
      <c r="G1060" s="9"/>
    </row>
    <row r="1061" spans="1:7" x14ac:dyDescent="0.25">
      <c r="A1061" s="2"/>
      <c r="B1061" s="2"/>
      <c r="C1061" s="3"/>
      <c r="D1061" s="2"/>
      <c r="E1061" s="2"/>
      <c r="F1061" s="2"/>
      <c r="G1061" s="9"/>
    </row>
    <row r="1062" spans="1:7" x14ac:dyDescent="0.25">
      <c r="A1062" s="2"/>
      <c r="B1062" s="2"/>
      <c r="C1062" s="3"/>
      <c r="D1062" s="2"/>
      <c r="E1062" s="2"/>
      <c r="F1062" s="2"/>
      <c r="G1062" s="9"/>
    </row>
    <row r="1063" spans="1:7" x14ac:dyDescent="0.25">
      <c r="A1063" s="2"/>
      <c r="B1063" s="2"/>
      <c r="C1063" s="3"/>
      <c r="D1063" s="2"/>
      <c r="E1063" s="2"/>
      <c r="F1063" s="2"/>
      <c r="G1063" s="9"/>
    </row>
    <row r="1064" spans="1:7" x14ac:dyDescent="0.25">
      <c r="A1064" s="2"/>
      <c r="B1064" s="2"/>
      <c r="C1064" s="3"/>
      <c r="D1064" s="2"/>
      <c r="E1064" s="2"/>
      <c r="F1064" s="2"/>
      <c r="G1064" s="9"/>
    </row>
    <row r="1065" spans="1:7" x14ac:dyDescent="0.25">
      <c r="A1065" s="2"/>
      <c r="B1065" s="2"/>
      <c r="C1065" s="3"/>
      <c r="D1065" s="2"/>
      <c r="E1065" s="2"/>
      <c r="F1065" s="2"/>
      <c r="G1065" s="9"/>
    </row>
    <row r="1066" spans="1:7" x14ac:dyDescent="0.25">
      <c r="A1066" s="2"/>
      <c r="B1066" s="2"/>
      <c r="C1066" s="3"/>
      <c r="D1066" s="2"/>
      <c r="E1066" s="2"/>
      <c r="F1066" s="2"/>
      <c r="G1066" s="9"/>
    </row>
    <row r="1067" spans="1:7" x14ac:dyDescent="0.25">
      <c r="A1067" s="2"/>
      <c r="B1067" s="2"/>
      <c r="C1067" s="3"/>
      <c r="D1067" s="2"/>
      <c r="E1067" s="2"/>
      <c r="F1067" s="2"/>
      <c r="G1067" s="9"/>
    </row>
    <row r="1068" spans="1:7" x14ac:dyDescent="0.25">
      <c r="A1068" s="2"/>
      <c r="B1068" s="2"/>
      <c r="C1068" s="3"/>
      <c r="D1068" s="2"/>
      <c r="E1068" s="2"/>
      <c r="F1068" s="2"/>
      <c r="G1068" s="9"/>
    </row>
    <row r="1069" spans="1:7" x14ac:dyDescent="0.25">
      <c r="A1069" s="2"/>
      <c r="B1069" s="2"/>
      <c r="C1069" s="3"/>
      <c r="D1069" s="2"/>
      <c r="E1069" s="2"/>
      <c r="F1069" s="2"/>
      <c r="G1069" s="9"/>
    </row>
    <row r="1070" spans="1:7" x14ac:dyDescent="0.25">
      <c r="A1070" s="2"/>
      <c r="B1070" s="2"/>
      <c r="C1070" s="3"/>
      <c r="D1070" s="2"/>
      <c r="E1070" s="2"/>
      <c r="F1070" s="2"/>
      <c r="G1070" s="9"/>
    </row>
    <row r="1071" spans="1:7" x14ac:dyDescent="0.25">
      <c r="A1071" s="2"/>
      <c r="B1071" s="2"/>
      <c r="C1071" s="3"/>
      <c r="D1071" s="2"/>
      <c r="E1071" s="2"/>
      <c r="F1071" s="2"/>
      <c r="G1071" s="9"/>
    </row>
    <row r="1072" spans="1:7" x14ac:dyDescent="0.25">
      <c r="A1072" s="2"/>
      <c r="B1072" s="2"/>
      <c r="C1072" s="3"/>
      <c r="D1072" s="2"/>
      <c r="E1072" s="2"/>
      <c r="F1072" s="2"/>
      <c r="G1072" s="9"/>
    </row>
    <row r="1073" spans="1:7" x14ac:dyDescent="0.25">
      <c r="A1073" s="2"/>
      <c r="B1073" s="2"/>
      <c r="C1073" s="3"/>
      <c r="D1073" s="2"/>
      <c r="E1073" s="2"/>
      <c r="F1073" s="2"/>
      <c r="G1073" s="9"/>
    </row>
    <row r="1074" spans="1:7" x14ac:dyDescent="0.25">
      <c r="A1074" s="2"/>
      <c r="B1074" s="2"/>
      <c r="C1074" s="3"/>
      <c r="D1074" s="2"/>
      <c r="E1074" s="2"/>
      <c r="F1074" s="2"/>
      <c r="G1074" s="9"/>
    </row>
    <row r="1075" spans="1:7" x14ac:dyDescent="0.25">
      <c r="A1075" s="2"/>
      <c r="B1075" s="2"/>
      <c r="C1075" s="3"/>
      <c r="D1075" s="2"/>
      <c r="E1075" s="2"/>
      <c r="F1075" s="2"/>
      <c r="G1075" s="9"/>
    </row>
    <row r="1076" spans="1:7" x14ac:dyDescent="0.25">
      <c r="A1076" s="2"/>
      <c r="B1076" s="2"/>
      <c r="C1076" s="3"/>
      <c r="D1076" s="2"/>
      <c r="E1076" s="2"/>
      <c r="F1076" s="2"/>
      <c r="G1076" s="9"/>
    </row>
    <row r="1077" spans="1:7" x14ac:dyDescent="0.25">
      <c r="A1077" s="2"/>
      <c r="B1077" s="2"/>
      <c r="C1077" s="3"/>
      <c r="D1077" s="2"/>
      <c r="E1077" s="2"/>
      <c r="F1077" s="2"/>
      <c r="G1077" s="9"/>
    </row>
    <row r="1078" spans="1:7" x14ac:dyDescent="0.25">
      <c r="A1078" s="2"/>
      <c r="B1078" s="2"/>
      <c r="C1078" s="3"/>
      <c r="D1078" s="2"/>
      <c r="E1078" s="2"/>
      <c r="F1078" s="2"/>
      <c r="G1078" s="9"/>
    </row>
    <row r="1079" spans="1:7" x14ac:dyDescent="0.25">
      <c r="A1079" s="2"/>
      <c r="B1079" s="2"/>
      <c r="C1079" s="3"/>
      <c r="D1079" s="2"/>
      <c r="E1079" s="2"/>
      <c r="F1079" s="2"/>
      <c r="G1079" s="9"/>
    </row>
    <row r="1080" spans="1:7" x14ac:dyDescent="0.25">
      <c r="A1080" s="2"/>
      <c r="B1080" s="2"/>
      <c r="C1080" s="3"/>
      <c r="D1080" s="2"/>
      <c r="E1080" s="2"/>
      <c r="F1080" s="2"/>
      <c r="G1080" s="9"/>
    </row>
    <row r="1081" spans="1:7" x14ac:dyDescent="0.25">
      <c r="A1081" s="2"/>
      <c r="B1081" s="2"/>
      <c r="C1081" s="3"/>
      <c r="D1081" s="2"/>
      <c r="E1081" s="2"/>
      <c r="F1081" s="2"/>
      <c r="G1081" s="9"/>
    </row>
    <row r="1082" spans="1:7" x14ac:dyDescent="0.25">
      <c r="A1082" s="2"/>
      <c r="B1082" s="2"/>
      <c r="C1082" s="3"/>
      <c r="D1082" s="2"/>
      <c r="E1082" s="2"/>
      <c r="F1082" s="2"/>
      <c r="G1082" s="9"/>
    </row>
    <row r="1083" spans="1:7" x14ac:dyDescent="0.25">
      <c r="A1083" s="2"/>
      <c r="B1083" s="2"/>
      <c r="C1083" s="3"/>
      <c r="D1083" s="2"/>
      <c r="E1083" s="2"/>
      <c r="F1083" s="2"/>
      <c r="G1083" s="9"/>
    </row>
    <row r="1084" spans="1:7" x14ac:dyDescent="0.25">
      <c r="A1084" s="2"/>
      <c r="B1084" s="2"/>
      <c r="C1084" s="3"/>
      <c r="D1084" s="2"/>
      <c r="E1084" s="2"/>
      <c r="F1084" s="2"/>
      <c r="G1084" s="9"/>
    </row>
    <row r="1085" spans="1:7" x14ac:dyDescent="0.25">
      <c r="A1085" s="2"/>
      <c r="B1085" s="2"/>
      <c r="C1085" s="3"/>
      <c r="D1085" s="2"/>
      <c r="E1085" s="2"/>
      <c r="F1085" s="2"/>
      <c r="G1085" s="9"/>
    </row>
    <row r="1086" spans="1:7" x14ac:dyDescent="0.25">
      <c r="A1086" s="2"/>
      <c r="B1086" s="2"/>
      <c r="C1086" s="3"/>
      <c r="D1086" s="2"/>
      <c r="E1086" s="2"/>
      <c r="F1086" s="2"/>
      <c r="G1086" s="9"/>
    </row>
    <row r="1087" spans="1:7" x14ac:dyDescent="0.25">
      <c r="A1087" s="2"/>
      <c r="B1087" s="2"/>
      <c r="C1087" s="3"/>
      <c r="D1087" s="2"/>
      <c r="E1087" s="2"/>
      <c r="F1087" s="2"/>
      <c r="G1087" s="9"/>
    </row>
    <row r="1088" spans="1:7" x14ac:dyDescent="0.25">
      <c r="A1088" s="2"/>
      <c r="B1088" s="2"/>
      <c r="C1088" s="3"/>
      <c r="D1088" s="2"/>
      <c r="E1088" s="2"/>
      <c r="F1088" s="2"/>
      <c r="G1088" s="9"/>
    </row>
    <row r="1089" spans="1:7" x14ac:dyDescent="0.25">
      <c r="A1089" s="2"/>
      <c r="B1089" s="2"/>
      <c r="C1089" s="3"/>
      <c r="D1089" s="2"/>
      <c r="E1089" s="2"/>
      <c r="F1089" s="2"/>
      <c r="G1089" s="9"/>
    </row>
    <row r="1090" spans="1:7" x14ac:dyDescent="0.25">
      <c r="A1090" s="2"/>
      <c r="B1090" s="2"/>
      <c r="C1090" s="3"/>
      <c r="D1090" s="2"/>
      <c r="E1090" s="2"/>
      <c r="F1090" s="2"/>
      <c r="G1090" s="9"/>
    </row>
    <row r="1091" spans="1:7" x14ac:dyDescent="0.25">
      <c r="A1091" s="2"/>
      <c r="B1091" s="2"/>
      <c r="C1091" s="3"/>
      <c r="D1091" s="2"/>
      <c r="E1091" s="2"/>
      <c r="F1091" s="2"/>
      <c r="G1091" s="9"/>
    </row>
    <row r="1092" spans="1:7" x14ac:dyDescent="0.25">
      <c r="A1092" s="2"/>
      <c r="B1092" s="2"/>
      <c r="C1092" s="3"/>
      <c r="D1092" s="2"/>
      <c r="E1092" s="2"/>
      <c r="F1092" s="2"/>
      <c r="G1092" s="9"/>
    </row>
    <row r="1093" spans="1:7" x14ac:dyDescent="0.25">
      <c r="A1093" s="2"/>
      <c r="B1093" s="2"/>
      <c r="C1093" s="3"/>
      <c r="D1093" s="2"/>
      <c r="E1093" s="2"/>
      <c r="F1093" s="2"/>
      <c r="G1093" s="9"/>
    </row>
    <row r="1094" spans="1:7" x14ac:dyDescent="0.25">
      <c r="A1094" s="2"/>
      <c r="B1094" s="2"/>
      <c r="C1094" s="3"/>
      <c r="D1094" s="2"/>
      <c r="E1094" s="2"/>
      <c r="F1094" s="2"/>
      <c r="G1094" s="9"/>
    </row>
    <row r="1095" spans="1:7" x14ac:dyDescent="0.25">
      <c r="A1095" s="2"/>
      <c r="B1095" s="2"/>
      <c r="C1095" s="3"/>
      <c r="D1095" s="2"/>
      <c r="E1095" s="2"/>
      <c r="F1095" s="2"/>
      <c r="G1095" s="9"/>
    </row>
    <row r="1096" spans="1:7" x14ac:dyDescent="0.25">
      <c r="A1096" s="2"/>
      <c r="B1096" s="2"/>
      <c r="C1096" s="3"/>
      <c r="D1096" s="2"/>
      <c r="E1096" s="2"/>
      <c r="F1096" s="2"/>
      <c r="G1096" s="9"/>
    </row>
    <row r="1097" spans="1:7" x14ac:dyDescent="0.25">
      <c r="A1097" s="2"/>
      <c r="B1097" s="2"/>
      <c r="C1097" s="3"/>
      <c r="D1097" s="2"/>
      <c r="E1097" s="2"/>
      <c r="F1097" s="2"/>
      <c r="G1097" s="9"/>
    </row>
    <row r="1098" spans="1:7" x14ac:dyDescent="0.25">
      <c r="A1098" s="2"/>
      <c r="B1098" s="2"/>
      <c r="C1098" s="3"/>
      <c r="D1098" s="2"/>
      <c r="E1098" s="2"/>
      <c r="F1098" s="2"/>
      <c r="G1098" s="9"/>
    </row>
    <row r="1099" spans="1:7" x14ac:dyDescent="0.25">
      <c r="A1099" s="2"/>
      <c r="B1099" s="2"/>
      <c r="C1099" s="3"/>
      <c r="D1099" s="2"/>
      <c r="E1099" s="2"/>
      <c r="F1099" s="2"/>
      <c r="G1099" s="9"/>
    </row>
    <row r="1100" spans="1:7" x14ac:dyDescent="0.25">
      <c r="A1100" s="2"/>
      <c r="B1100" s="2"/>
      <c r="C1100" s="3"/>
      <c r="D1100" s="2"/>
      <c r="E1100" s="2"/>
      <c r="F1100" s="2"/>
      <c r="G1100" s="9"/>
    </row>
    <row r="1101" spans="1:7" x14ac:dyDescent="0.25">
      <c r="A1101" s="2"/>
      <c r="B1101" s="2"/>
      <c r="C1101" s="3"/>
      <c r="D1101" s="2"/>
      <c r="E1101" s="2"/>
      <c r="F1101" s="2"/>
      <c r="G1101" s="9"/>
    </row>
    <row r="1102" spans="1:7" x14ac:dyDescent="0.25">
      <c r="A1102" s="2"/>
      <c r="B1102" s="2"/>
      <c r="C1102" s="3"/>
      <c r="D1102" s="2"/>
      <c r="E1102" s="2"/>
      <c r="F1102" s="2"/>
      <c r="G1102" s="9"/>
    </row>
    <row r="1103" spans="1:7" x14ac:dyDescent="0.25">
      <c r="A1103" s="2"/>
      <c r="B1103" s="2"/>
      <c r="C1103" s="3"/>
      <c r="D1103" s="2"/>
      <c r="E1103" s="2"/>
      <c r="F1103" s="2"/>
      <c r="G1103" s="9"/>
    </row>
    <row r="1104" spans="1:7" x14ac:dyDescent="0.25">
      <c r="A1104" s="2"/>
      <c r="B1104" s="2"/>
      <c r="C1104" s="3"/>
      <c r="D1104" s="2"/>
      <c r="E1104" s="2"/>
      <c r="F1104" s="2"/>
      <c r="G1104" s="9"/>
    </row>
    <row r="1105" spans="1:7" x14ac:dyDescent="0.25">
      <c r="A1105" s="2"/>
      <c r="B1105" s="2"/>
      <c r="C1105" s="3"/>
      <c r="D1105" s="2"/>
      <c r="E1105" s="2"/>
      <c r="F1105" s="2"/>
      <c r="G1105" s="9"/>
    </row>
    <row r="1106" spans="1:7" x14ac:dyDescent="0.25">
      <c r="A1106" s="2"/>
      <c r="B1106" s="2"/>
      <c r="C1106" s="3"/>
      <c r="D1106" s="2"/>
      <c r="E1106" s="2"/>
      <c r="F1106" s="2"/>
      <c r="G1106" s="9"/>
    </row>
    <row r="1107" spans="1:7" x14ac:dyDescent="0.25">
      <c r="A1107" s="2"/>
      <c r="B1107" s="2"/>
      <c r="C1107" s="3"/>
      <c r="D1107" s="2"/>
      <c r="E1107" s="2"/>
      <c r="F1107" s="2"/>
      <c r="G1107" s="9"/>
    </row>
    <row r="1108" spans="1:7" x14ac:dyDescent="0.25">
      <c r="A1108" s="2"/>
      <c r="B1108" s="2"/>
      <c r="C1108" s="3"/>
      <c r="D1108" s="2"/>
      <c r="E1108" s="2"/>
      <c r="F1108" s="2"/>
      <c r="G1108" s="9"/>
    </row>
    <row r="1109" spans="1:7" x14ac:dyDescent="0.25">
      <c r="A1109" s="2"/>
      <c r="B1109" s="2"/>
      <c r="C1109" s="3"/>
      <c r="D1109" s="2"/>
      <c r="E1109" s="2"/>
      <c r="F1109" s="2"/>
      <c r="G1109" s="9"/>
    </row>
    <row r="1110" spans="1:7" x14ac:dyDescent="0.25">
      <c r="A1110" s="2"/>
      <c r="B1110" s="2"/>
      <c r="C1110" s="3"/>
      <c r="D1110" s="2"/>
      <c r="E1110" s="2"/>
      <c r="F1110" s="2"/>
      <c r="G1110" s="9"/>
    </row>
    <row r="1111" spans="1:7" x14ac:dyDescent="0.25">
      <c r="A1111" s="2"/>
      <c r="B1111" s="2"/>
      <c r="C1111" s="3"/>
      <c r="D1111" s="2"/>
      <c r="E1111" s="2"/>
      <c r="F1111" s="2"/>
      <c r="G1111" s="9"/>
    </row>
    <row r="1112" spans="1:7" x14ac:dyDescent="0.25">
      <c r="A1112" s="2"/>
      <c r="B1112" s="2"/>
      <c r="C1112" s="3"/>
      <c r="D1112" s="2"/>
      <c r="E1112" s="2"/>
      <c r="F1112" s="2"/>
      <c r="G1112" s="9"/>
    </row>
    <row r="1113" spans="1:7" x14ac:dyDescent="0.25">
      <c r="A1113" s="2"/>
      <c r="B1113" s="2"/>
      <c r="C1113" s="3"/>
      <c r="D1113" s="2"/>
      <c r="E1113" s="2"/>
      <c r="F1113" s="2"/>
      <c r="G1113" s="9"/>
    </row>
    <row r="1114" spans="1:7" x14ac:dyDescent="0.25">
      <c r="A1114" s="2"/>
      <c r="B1114" s="2"/>
      <c r="C1114" s="3"/>
      <c r="D1114" s="2"/>
      <c r="E1114" s="2"/>
      <c r="F1114" s="2"/>
      <c r="G1114" s="9"/>
    </row>
    <row r="1115" spans="1:7" x14ac:dyDescent="0.25">
      <c r="A1115" s="2"/>
      <c r="B1115" s="2"/>
      <c r="C1115" s="3"/>
      <c r="D1115" s="2"/>
      <c r="E1115" s="2"/>
      <c r="F1115" s="2"/>
      <c r="G1115" s="9"/>
    </row>
    <row r="1116" spans="1:7" x14ac:dyDescent="0.25">
      <c r="A1116" s="2"/>
      <c r="B1116" s="2"/>
      <c r="C1116" s="3"/>
      <c r="D1116" s="2"/>
      <c r="E1116" s="2"/>
      <c r="F1116" s="2"/>
      <c r="G1116" s="9"/>
    </row>
    <row r="1117" spans="1:7" x14ac:dyDescent="0.25">
      <c r="A1117" s="2"/>
      <c r="B1117" s="2"/>
      <c r="C1117" s="3"/>
      <c r="D1117" s="2"/>
      <c r="E1117" s="2"/>
      <c r="F1117" s="2"/>
      <c r="G1117" s="9"/>
    </row>
    <row r="1118" spans="1:7" x14ac:dyDescent="0.25">
      <c r="A1118" s="2"/>
      <c r="B1118" s="2"/>
      <c r="C1118" s="3"/>
      <c r="D1118" s="2"/>
      <c r="E1118" s="2"/>
      <c r="F1118" s="2"/>
      <c r="G1118" s="9"/>
    </row>
    <row r="1119" spans="1:7" x14ac:dyDescent="0.25">
      <c r="A1119" s="2"/>
      <c r="B1119" s="2"/>
      <c r="C1119" s="3"/>
      <c r="D1119" s="2"/>
      <c r="E1119" s="2"/>
      <c r="F1119" s="2"/>
      <c r="G1119" s="9"/>
    </row>
    <row r="1120" spans="1:7" x14ac:dyDescent="0.25">
      <c r="A1120" s="2"/>
      <c r="B1120" s="2"/>
      <c r="C1120" s="3"/>
      <c r="D1120" s="2"/>
      <c r="E1120" s="2"/>
      <c r="F1120" s="2"/>
      <c r="G1120" s="9"/>
    </row>
    <row r="1121" spans="1:7" x14ac:dyDescent="0.25">
      <c r="A1121" s="2"/>
      <c r="B1121" s="2"/>
      <c r="C1121" s="3"/>
      <c r="D1121" s="2"/>
      <c r="E1121" s="2"/>
      <c r="F1121" s="2"/>
      <c r="G1121" s="9"/>
    </row>
    <row r="1122" spans="1:7" x14ac:dyDescent="0.25">
      <c r="A1122" s="2"/>
      <c r="B1122" s="2"/>
      <c r="C1122" s="3"/>
      <c r="D1122" s="2"/>
      <c r="E1122" s="2"/>
      <c r="F1122" s="2"/>
      <c r="G1122" s="9"/>
    </row>
    <row r="1123" spans="1:7" x14ac:dyDescent="0.25">
      <c r="A1123" s="2"/>
      <c r="B1123" s="2"/>
      <c r="C1123" s="3"/>
      <c r="D1123" s="2"/>
      <c r="E1123" s="2"/>
      <c r="F1123" s="2"/>
      <c r="G1123" s="9"/>
    </row>
    <row r="1124" spans="1:7" x14ac:dyDescent="0.25">
      <c r="A1124" s="2"/>
      <c r="B1124" s="2"/>
      <c r="C1124" s="3"/>
      <c r="D1124" s="2"/>
      <c r="E1124" s="2"/>
      <c r="F1124" s="2"/>
      <c r="G1124" s="9"/>
    </row>
    <row r="1125" spans="1:7" x14ac:dyDescent="0.25">
      <c r="A1125" s="2"/>
      <c r="B1125" s="2"/>
      <c r="C1125" s="3"/>
      <c r="D1125" s="2"/>
      <c r="E1125" s="2"/>
      <c r="F1125" s="2"/>
      <c r="G1125" s="9"/>
    </row>
    <row r="1126" spans="1:7" x14ac:dyDescent="0.25">
      <c r="A1126" s="2"/>
      <c r="B1126" s="2"/>
      <c r="C1126" s="3"/>
      <c r="D1126" s="2"/>
      <c r="E1126" s="2"/>
      <c r="F1126" s="2"/>
      <c r="G1126" s="9"/>
    </row>
    <row r="1127" spans="1:7" x14ac:dyDescent="0.25">
      <c r="A1127" s="2"/>
      <c r="B1127" s="2"/>
      <c r="C1127" s="3"/>
      <c r="D1127" s="2"/>
      <c r="E1127" s="2"/>
      <c r="F1127" s="2"/>
      <c r="G1127" s="9"/>
    </row>
    <row r="1128" spans="1:7" x14ac:dyDescent="0.25">
      <c r="A1128" s="2"/>
      <c r="B1128" s="2"/>
      <c r="C1128" s="3"/>
      <c r="D1128" s="2"/>
      <c r="E1128" s="2"/>
      <c r="F1128" s="2"/>
      <c r="G1128" s="9"/>
    </row>
    <row r="1129" spans="1:7" x14ac:dyDescent="0.25">
      <c r="A1129" s="2"/>
      <c r="B1129" s="2"/>
      <c r="C1129" s="3"/>
      <c r="D1129" s="2"/>
      <c r="E1129" s="2"/>
      <c r="F1129" s="2"/>
      <c r="G1129" s="9"/>
    </row>
    <row r="1130" spans="1:7" x14ac:dyDescent="0.25">
      <c r="A1130" s="2"/>
      <c r="B1130" s="2"/>
      <c r="C1130" s="3"/>
      <c r="D1130" s="2"/>
      <c r="E1130" s="2"/>
      <c r="F1130" s="2"/>
      <c r="G1130" s="9"/>
    </row>
    <row r="1131" spans="1:7" x14ac:dyDescent="0.25">
      <c r="A1131" s="2"/>
      <c r="B1131" s="2"/>
      <c r="C1131" s="3"/>
      <c r="D1131" s="2"/>
      <c r="E1131" s="2"/>
      <c r="F1131" s="2"/>
      <c r="G1131" s="9"/>
    </row>
    <row r="1132" spans="1:7" x14ac:dyDescent="0.25">
      <c r="A1132" s="2"/>
      <c r="B1132" s="2"/>
      <c r="C1132" s="3"/>
      <c r="D1132" s="2"/>
      <c r="E1132" s="2"/>
      <c r="F1132" s="2"/>
      <c r="G1132" s="9"/>
    </row>
    <row r="1133" spans="1:7" x14ac:dyDescent="0.25">
      <c r="A1133" s="2"/>
      <c r="B1133" s="2"/>
      <c r="C1133" s="3"/>
      <c r="D1133" s="2"/>
      <c r="E1133" s="2"/>
      <c r="F1133" s="2"/>
      <c r="G1133" s="9"/>
    </row>
    <row r="1134" spans="1:7" x14ac:dyDescent="0.25">
      <c r="A1134" s="2"/>
      <c r="B1134" s="2"/>
      <c r="C1134" s="3"/>
      <c r="D1134" s="2"/>
      <c r="E1134" s="2"/>
      <c r="F1134" s="2"/>
      <c r="G1134" s="9"/>
    </row>
    <row r="1135" spans="1:7" x14ac:dyDescent="0.25">
      <c r="A1135" s="2"/>
      <c r="B1135" s="2"/>
      <c r="C1135" s="3"/>
      <c r="D1135" s="2"/>
      <c r="E1135" s="2"/>
      <c r="F1135" s="2"/>
      <c r="G1135" s="9"/>
    </row>
    <row r="1136" spans="1:7" x14ac:dyDescent="0.25">
      <c r="A1136" s="2"/>
      <c r="B1136" s="2"/>
      <c r="C1136" s="3"/>
      <c r="D1136" s="2"/>
      <c r="E1136" s="2"/>
      <c r="F1136" s="2"/>
      <c r="G1136" s="9"/>
    </row>
    <row r="1137" spans="1:7" x14ac:dyDescent="0.25">
      <c r="A1137" s="2"/>
      <c r="B1137" s="2"/>
      <c r="C1137" s="3"/>
      <c r="D1137" s="2"/>
      <c r="E1137" s="2"/>
      <c r="F1137" s="2"/>
      <c r="G1137" s="9"/>
    </row>
    <row r="1138" spans="1:7" x14ac:dyDescent="0.25">
      <c r="A1138" s="2"/>
      <c r="B1138" s="2"/>
      <c r="C1138" s="3"/>
      <c r="D1138" s="2"/>
      <c r="E1138" s="2"/>
      <c r="F1138" s="2"/>
      <c r="G1138" s="9"/>
    </row>
    <row r="1139" spans="1:7" x14ac:dyDescent="0.25">
      <c r="A1139" s="2"/>
      <c r="B1139" s="2"/>
      <c r="C1139" s="3"/>
      <c r="D1139" s="2"/>
      <c r="E1139" s="2"/>
      <c r="F1139" s="2"/>
      <c r="G1139" s="9"/>
    </row>
    <row r="1140" spans="1:7" x14ac:dyDescent="0.25">
      <c r="A1140" s="2"/>
      <c r="B1140" s="2"/>
      <c r="C1140" s="3"/>
      <c r="D1140" s="2"/>
      <c r="E1140" s="2"/>
      <c r="F1140" s="2"/>
      <c r="G1140" s="9"/>
    </row>
    <row r="1141" spans="1:7" x14ac:dyDescent="0.25">
      <c r="A1141" s="2"/>
      <c r="B1141" s="2"/>
      <c r="C1141" s="3"/>
      <c r="D1141" s="2"/>
      <c r="E1141" s="2"/>
      <c r="F1141" s="2"/>
      <c r="G1141" s="9"/>
    </row>
    <row r="1142" spans="1:7" x14ac:dyDescent="0.25">
      <c r="A1142" s="2"/>
      <c r="B1142" s="2"/>
      <c r="C1142" s="3"/>
      <c r="D1142" s="2"/>
      <c r="E1142" s="2"/>
      <c r="F1142" s="2"/>
      <c r="G1142" s="9"/>
    </row>
    <row r="1143" spans="1:7" x14ac:dyDescent="0.25">
      <c r="A1143" s="2"/>
      <c r="B1143" s="2"/>
      <c r="C1143" s="3"/>
      <c r="D1143" s="2"/>
      <c r="E1143" s="2"/>
      <c r="F1143" s="2"/>
      <c r="G1143" s="9"/>
    </row>
    <row r="1144" spans="1:7" x14ac:dyDescent="0.25">
      <c r="A1144" s="2"/>
      <c r="B1144" s="2"/>
      <c r="C1144" s="3"/>
      <c r="D1144" s="2"/>
      <c r="E1144" s="2"/>
      <c r="F1144" s="2"/>
      <c r="G1144" s="9"/>
    </row>
    <row r="1145" spans="1:7" x14ac:dyDescent="0.25">
      <c r="A1145" s="2"/>
      <c r="B1145" s="2"/>
      <c r="C1145" s="3"/>
      <c r="D1145" s="2"/>
      <c r="E1145" s="2"/>
      <c r="F1145" s="2"/>
      <c r="G1145" s="9"/>
    </row>
    <row r="1146" spans="1:7" x14ac:dyDescent="0.25">
      <c r="A1146" s="2"/>
      <c r="B1146" s="2"/>
      <c r="C1146" s="3"/>
      <c r="D1146" s="2"/>
      <c r="E1146" s="2"/>
      <c r="F1146" s="2"/>
      <c r="G1146" s="9"/>
    </row>
    <row r="1147" spans="1:7" x14ac:dyDescent="0.25">
      <c r="A1147" s="2"/>
      <c r="B1147" s="2"/>
      <c r="C1147" s="3"/>
      <c r="D1147" s="2"/>
      <c r="E1147" s="2"/>
      <c r="F1147" s="2"/>
      <c r="G1147" s="9"/>
    </row>
    <row r="1148" spans="1:7" x14ac:dyDescent="0.25">
      <c r="A1148" s="2"/>
      <c r="B1148" s="2"/>
      <c r="C1148" s="3"/>
      <c r="D1148" s="2"/>
      <c r="E1148" s="2"/>
      <c r="F1148" s="2"/>
      <c r="G1148" s="9"/>
    </row>
    <row r="1149" spans="1:7" x14ac:dyDescent="0.25">
      <c r="A1149" s="2"/>
      <c r="B1149" s="2"/>
      <c r="C1149" s="3"/>
      <c r="D1149" s="2"/>
      <c r="E1149" s="2"/>
      <c r="F1149" s="2"/>
      <c r="G1149" s="9"/>
    </row>
    <row r="1150" spans="1:7" x14ac:dyDescent="0.25">
      <c r="A1150" s="2"/>
      <c r="B1150" s="2"/>
      <c r="C1150" s="3"/>
      <c r="D1150" s="2"/>
      <c r="E1150" s="2"/>
      <c r="F1150" s="2"/>
      <c r="G1150" s="9"/>
    </row>
    <row r="1151" spans="1:7" x14ac:dyDescent="0.25">
      <c r="A1151" s="2"/>
      <c r="B1151" s="2"/>
      <c r="C1151" s="3"/>
      <c r="D1151" s="2"/>
      <c r="E1151" s="2"/>
      <c r="F1151" s="2"/>
      <c r="G1151" s="9"/>
    </row>
    <row r="1152" spans="1:7" x14ac:dyDescent="0.25">
      <c r="A1152" s="2"/>
      <c r="B1152" s="2"/>
      <c r="C1152" s="3"/>
      <c r="D1152" s="2"/>
      <c r="E1152" s="2"/>
      <c r="F1152" s="2"/>
      <c r="G1152" s="9"/>
    </row>
    <row r="1153" spans="1:7" x14ac:dyDescent="0.25">
      <c r="A1153" s="2"/>
      <c r="B1153" s="2"/>
      <c r="C1153" s="3"/>
      <c r="D1153" s="2"/>
      <c r="E1153" s="2"/>
      <c r="F1153" s="2"/>
      <c r="G1153" s="9"/>
    </row>
    <row r="1154" spans="1:7" x14ac:dyDescent="0.25">
      <c r="A1154" s="2"/>
      <c r="B1154" s="2"/>
      <c r="C1154" s="3"/>
      <c r="D1154" s="2"/>
      <c r="E1154" s="2"/>
      <c r="F1154" s="2"/>
      <c r="G1154" s="9"/>
    </row>
    <row r="1155" spans="1:7" x14ac:dyDescent="0.25">
      <c r="A1155" s="2"/>
      <c r="B1155" s="2"/>
      <c r="C1155" s="3"/>
      <c r="D1155" s="2"/>
      <c r="E1155" s="2"/>
      <c r="F1155" s="2"/>
      <c r="G1155" s="9"/>
    </row>
    <row r="1156" spans="1:7" x14ac:dyDescent="0.25">
      <c r="A1156" s="2"/>
      <c r="B1156" s="2"/>
      <c r="C1156" s="3"/>
      <c r="D1156" s="2"/>
      <c r="E1156" s="2"/>
      <c r="F1156" s="2"/>
      <c r="G1156" s="9"/>
    </row>
    <row r="1157" spans="1:7" x14ac:dyDescent="0.25">
      <c r="A1157" s="2"/>
      <c r="B1157" s="2"/>
      <c r="C1157" s="3"/>
      <c r="D1157" s="2"/>
      <c r="E1157" s="2"/>
      <c r="F1157" s="2"/>
      <c r="G1157" s="9"/>
    </row>
    <row r="1158" spans="1:7" x14ac:dyDescent="0.25">
      <c r="A1158" s="2"/>
      <c r="B1158" s="2"/>
      <c r="C1158" s="3"/>
      <c r="D1158" s="2"/>
      <c r="E1158" s="2"/>
      <c r="F1158" s="2"/>
      <c r="G1158" s="9"/>
    </row>
    <row r="1159" spans="1:7" x14ac:dyDescent="0.25">
      <c r="A1159" s="2"/>
      <c r="B1159" s="2"/>
      <c r="C1159" s="3"/>
      <c r="D1159" s="2"/>
      <c r="E1159" s="2"/>
      <c r="F1159" s="2"/>
      <c r="G1159" s="9"/>
    </row>
    <row r="1160" spans="1:7" x14ac:dyDescent="0.25">
      <c r="A1160" s="2"/>
      <c r="B1160" s="2"/>
      <c r="C1160" s="3"/>
      <c r="D1160" s="2"/>
      <c r="E1160" s="2"/>
      <c r="F1160" s="2"/>
      <c r="G1160" s="9"/>
    </row>
    <row r="1161" spans="1:7" x14ac:dyDescent="0.25">
      <c r="A1161" s="2"/>
      <c r="B1161" s="2"/>
      <c r="C1161" s="3"/>
      <c r="D1161" s="2"/>
      <c r="E1161" s="2"/>
      <c r="F1161" s="2"/>
      <c r="G1161" s="9"/>
    </row>
    <row r="1162" spans="1:7" x14ac:dyDescent="0.25">
      <c r="A1162" s="2"/>
      <c r="B1162" s="2"/>
      <c r="C1162" s="3"/>
      <c r="D1162" s="2"/>
      <c r="E1162" s="2"/>
      <c r="F1162" s="2"/>
      <c r="G1162" s="9"/>
    </row>
    <row r="1163" spans="1:7" x14ac:dyDescent="0.25">
      <c r="A1163" s="2"/>
      <c r="B1163" s="2"/>
      <c r="C1163" s="3"/>
      <c r="D1163" s="2"/>
      <c r="E1163" s="2"/>
      <c r="F1163" s="2"/>
      <c r="G1163" s="9"/>
    </row>
    <row r="1164" spans="1:7" x14ac:dyDescent="0.25">
      <c r="A1164" s="2"/>
      <c r="B1164" s="2"/>
      <c r="C1164" s="3"/>
      <c r="D1164" s="2"/>
      <c r="E1164" s="2"/>
      <c r="F1164" s="2"/>
      <c r="G1164" s="9"/>
    </row>
    <row r="1165" spans="1:7" x14ac:dyDescent="0.25">
      <c r="A1165" s="2"/>
      <c r="B1165" s="2"/>
      <c r="C1165" s="3"/>
      <c r="D1165" s="2"/>
      <c r="E1165" s="2"/>
      <c r="F1165" s="2"/>
      <c r="G1165" s="9"/>
    </row>
    <row r="1166" spans="1:7" x14ac:dyDescent="0.25">
      <c r="A1166" s="2"/>
      <c r="B1166" s="2"/>
      <c r="C1166" s="3"/>
      <c r="D1166" s="2"/>
      <c r="E1166" s="2"/>
      <c r="F1166" s="2"/>
      <c r="G1166" s="9"/>
    </row>
    <row r="1167" spans="1:7" x14ac:dyDescent="0.25">
      <c r="A1167" s="2"/>
      <c r="B1167" s="2"/>
      <c r="C1167" s="3"/>
      <c r="D1167" s="2"/>
      <c r="E1167" s="2"/>
      <c r="F1167" s="2"/>
      <c r="G1167" s="9"/>
    </row>
    <row r="1168" spans="1:7" x14ac:dyDescent="0.25">
      <c r="A1168" s="2"/>
      <c r="B1168" s="2"/>
      <c r="C1168" s="3"/>
      <c r="D1168" s="2"/>
      <c r="E1168" s="2"/>
      <c r="F1168" s="2"/>
      <c r="G1168" s="9"/>
    </row>
    <row r="1169" spans="1:7" x14ac:dyDescent="0.25">
      <c r="A1169" s="2"/>
      <c r="B1169" s="2"/>
      <c r="C1169" s="3"/>
      <c r="D1169" s="2"/>
      <c r="E1169" s="2"/>
      <c r="F1169" s="2"/>
      <c r="G1169" s="9"/>
    </row>
    <row r="1170" spans="1:7" x14ac:dyDescent="0.25">
      <c r="A1170" s="2"/>
      <c r="B1170" s="2"/>
      <c r="C1170" s="3"/>
      <c r="D1170" s="2"/>
      <c r="E1170" s="2"/>
      <c r="F1170" s="2"/>
      <c r="G1170" s="9"/>
    </row>
    <row r="1171" spans="1:7" x14ac:dyDescent="0.25">
      <c r="A1171" s="2"/>
      <c r="B1171" s="2"/>
      <c r="C1171" s="3"/>
      <c r="D1171" s="2"/>
      <c r="E1171" s="2"/>
      <c r="F1171" s="2"/>
      <c r="G1171" s="9"/>
    </row>
    <row r="1172" spans="1:7" x14ac:dyDescent="0.25">
      <c r="A1172" s="2"/>
      <c r="B1172" s="2"/>
      <c r="C1172" s="3"/>
      <c r="D1172" s="2"/>
      <c r="E1172" s="2"/>
      <c r="F1172" s="2"/>
      <c r="G1172" s="9"/>
    </row>
    <row r="1173" spans="1:7" x14ac:dyDescent="0.25">
      <c r="A1173" s="2"/>
      <c r="B1173" s="2"/>
      <c r="C1173" s="3"/>
      <c r="D1173" s="2"/>
      <c r="E1173" s="2"/>
      <c r="F1173" s="2"/>
      <c r="G1173" s="9"/>
    </row>
    <row r="1174" spans="1:7" x14ac:dyDescent="0.25">
      <c r="A1174" s="2"/>
      <c r="B1174" s="2"/>
      <c r="C1174" s="3"/>
      <c r="D1174" s="2"/>
      <c r="E1174" s="2"/>
      <c r="F1174" s="2"/>
      <c r="G1174" s="9"/>
    </row>
    <row r="1175" spans="1:7" x14ac:dyDescent="0.25">
      <c r="A1175" s="2"/>
      <c r="B1175" s="2"/>
      <c r="C1175" s="3"/>
      <c r="D1175" s="2"/>
      <c r="E1175" s="2"/>
      <c r="F1175" s="2"/>
      <c r="G1175" s="9"/>
    </row>
    <row r="1176" spans="1:7" x14ac:dyDescent="0.25">
      <c r="A1176" s="2"/>
      <c r="B1176" s="2"/>
      <c r="C1176" s="3"/>
      <c r="D1176" s="2"/>
      <c r="E1176" s="2"/>
      <c r="F1176" s="2"/>
      <c r="G1176" s="9"/>
    </row>
    <row r="1177" spans="1:7" x14ac:dyDescent="0.25">
      <c r="A1177" s="2"/>
      <c r="B1177" s="2"/>
      <c r="C1177" s="3"/>
      <c r="D1177" s="2"/>
      <c r="E1177" s="2"/>
      <c r="F1177" s="2"/>
      <c r="G1177" s="9"/>
    </row>
    <row r="1178" spans="1:7" x14ac:dyDescent="0.25">
      <c r="A1178" s="2"/>
      <c r="B1178" s="2"/>
      <c r="C1178" s="3"/>
      <c r="D1178" s="2"/>
      <c r="E1178" s="2"/>
      <c r="F1178" s="2"/>
      <c r="G1178" s="9"/>
    </row>
    <row r="1179" spans="1:7" x14ac:dyDescent="0.25">
      <c r="A1179" s="2"/>
      <c r="B1179" s="2"/>
      <c r="C1179" s="3"/>
      <c r="D1179" s="2"/>
      <c r="E1179" s="2"/>
      <c r="F1179" s="2"/>
      <c r="G1179" s="9"/>
    </row>
    <row r="1180" spans="1:7" x14ac:dyDescent="0.25">
      <c r="A1180" s="2"/>
      <c r="B1180" s="2"/>
      <c r="C1180" s="3"/>
      <c r="D1180" s="2"/>
      <c r="E1180" s="2"/>
      <c r="F1180" s="2"/>
      <c r="G1180" s="9"/>
    </row>
    <row r="1181" spans="1:7" x14ac:dyDescent="0.25">
      <c r="A1181" s="2"/>
      <c r="B1181" s="2"/>
      <c r="C1181" s="3"/>
      <c r="D1181" s="2"/>
      <c r="E1181" s="2"/>
      <c r="F1181" s="2"/>
      <c r="G1181" s="9"/>
    </row>
    <row r="1182" spans="1:7" x14ac:dyDescent="0.25">
      <c r="A1182" s="2"/>
      <c r="B1182" s="2"/>
      <c r="C1182" s="3"/>
      <c r="D1182" s="2"/>
      <c r="E1182" s="2"/>
      <c r="F1182" s="2"/>
      <c r="G1182" s="9"/>
    </row>
    <row r="1183" spans="1:7" x14ac:dyDescent="0.25">
      <c r="A1183" s="2"/>
      <c r="B1183" s="2"/>
      <c r="C1183" s="3"/>
      <c r="D1183" s="2"/>
      <c r="E1183" s="2"/>
      <c r="F1183" s="2"/>
      <c r="G1183" s="9"/>
    </row>
    <row r="1184" spans="1:7" x14ac:dyDescent="0.25">
      <c r="A1184" s="2"/>
      <c r="B1184" s="2"/>
      <c r="C1184" s="3"/>
      <c r="D1184" s="2"/>
      <c r="E1184" s="2"/>
      <c r="F1184" s="2"/>
      <c r="G1184" s="9"/>
    </row>
    <row r="1185" spans="1:7" x14ac:dyDescent="0.25">
      <c r="A1185" s="2"/>
      <c r="B1185" s="2"/>
      <c r="C1185" s="3"/>
      <c r="D1185" s="2"/>
      <c r="E1185" s="2"/>
      <c r="F1185" s="2"/>
      <c r="G1185" s="9"/>
    </row>
    <row r="1186" spans="1:7" x14ac:dyDescent="0.25">
      <c r="A1186" s="2"/>
      <c r="B1186" s="2"/>
      <c r="C1186" s="3"/>
      <c r="D1186" s="2"/>
      <c r="E1186" s="2"/>
      <c r="F1186" s="2"/>
      <c r="G1186" s="9"/>
    </row>
    <row r="1187" spans="1:7" x14ac:dyDescent="0.25">
      <c r="A1187" s="2"/>
      <c r="B1187" s="2"/>
      <c r="C1187" s="3"/>
      <c r="D1187" s="2"/>
      <c r="E1187" s="2"/>
      <c r="F1187" s="2"/>
      <c r="G1187" s="9"/>
    </row>
    <row r="1188" spans="1:7" x14ac:dyDescent="0.25">
      <c r="A1188" s="2"/>
      <c r="B1188" s="2"/>
      <c r="C1188" s="3"/>
      <c r="D1188" s="2"/>
      <c r="E1188" s="2"/>
      <c r="F1188" s="2"/>
      <c r="G1188" s="9"/>
    </row>
    <row r="1189" spans="1:7" x14ac:dyDescent="0.25">
      <c r="A1189" s="2"/>
      <c r="B1189" s="2"/>
      <c r="C1189" s="3"/>
      <c r="D1189" s="2"/>
      <c r="E1189" s="2"/>
      <c r="F1189" s="2"/>
      <c r="G1189" s="9"/>
    </row>
    <row r="1190" spans="1:7" x14ac:dyDescent="0.25">
      <c r="A1190" s="2"/>
      <c r="B1190" s="2"/>
      <c r="C1190" s="3"/>
      <c r="D1190" s="2"/>
      <c r="E1190" s="2"/>
      <c r="F1190" s="2"/>
      <c r="G1190" s="9"/>
    </row>
    <row r="1191" spans="1:7" x14ac:dyDescent="0.25">
      <c r="A1191" s="2"/>
      <c r="B1191" s="2"/>
      <c r="C1191" s="3"/>
      <c r="D1191" s="2"/>
      <c r="E1191" s="2"/>
      <c r="F1191" s="2"/>
      <c r="G1191" s="9"/>
    </row>
    <row r="1192" spans="1:7" x14ac:dyDescent="0.25">
      <c r="A1192" s="2"/>
      <c r="B1192" s="2"/>
      <c r="C1192" s="3"/>
      <c r="D1192" s="2"/>
      <c r="E1192" s="2"/>
      <c r="F1192" s="2"/>
      <c r="G1192" s="9"/>
    </row>
    <row r="1193" spans="1:7" x14ac:dyDescent="0.25">
      <c r="A1193" s="2"/>
      <c r="B1193" s="2"/>
      <c r="C1193" s="3"/>
      <c r="D1193" s="2"/>
      <c r="E1193" s="2"/>
      <c r="F1193" s="2"/>
      <c r="G1193" s="9"/>
    </row>
    <row r="1194" spans="1:7" x14ac:dyDescent="0.25">
      <c r="A1194" s="2"/>
      <c r="B1194" s="2"/>
      <c r="C1194" s="3"/>
      <c r="D1194" s="2"/>
      <c r="E1194" s="2"/>
      <c r="F1194" s="2"/>
      <c r="G1194" s="9"/>
    </row>
    <row r="1195" spans="1:7" x14ac:dyDescent="0.25">
      <c r="A1195" s="2"/>
      <c r="B1195" s="2"/>
      <c r="C1195" s="3"/>
      <c r="D1195" s="2"/>
      <c r="E1195" s="2"/>
      <c r="F1195" s="2"/>
      <c r="G1195" s="9"/>
    </row>
    <row r="1196" spans="1:7" x14ac:dyDescent="0.25">
      <c r="A1196" s="2"/>
      <c r="B1196" s="2"/>
      <c r="C1196" s="3"/>
      <c r="D1196" s="2"/>
      <c r="E1196" s="2"/>
      <c r="F1196" s="2"/>
      <c r="G1196" s="9"/>
    </row>
    <row r="1197" spans="1:7" x14ac:dyDescent="0.25">
      <c r="A1197" s="2"/>
      <c r="B1197" s="2"/>
      <c r="C1197" s="3"/>
      <c r="D1197" s="2"/>
      <c r="E1197" s="2"/>
      <c r="F1197" s="2"/>
      <c r="G1197" s="9"/>
    </row>
    <row r="1198" spans="1:7" x14ac:dyDescent="0.25">
      <c r="A1198" s="2"/>
      <c r="B1198" s="2"/>
      <c r="C1198" s="3"/>
      <c r="D1198" s="2"/>
      <c r="E1198" s="2"/>
      <c r="F1198" s="2"/>
      <c r="G1198" s="9"/>
    </row>
    <row r="1199" spans="1:7" x14ac:dyDescent="0.25">
      <c r="A1199" s="2"/>
      <c r="B1199" s="2"/>
      <c r="C1199" s="3"/>
      <c r="D1199" s="2"/>
      <c r="E1199" s="2"/>
      <c r="F1199" s="2"/>
      <c r="G1199" s="9"/>
    </row>
    <row r="1200" spans="1:7" x14ac:dyDescent="0.25">
      <c r="A1200" s="2"/>
      <c r="B1200" s="2"/>
      <c r="C1200" s="3"/>
      <c r="D1200" s="2"/>
      <c r="E1200" s="2"/>
      <c r="F1200" s="2"/>
      <c r="G1200" s="9"/>
    </row>
    <row r="1201" spans="1:7" x14ac:dyDescent="0.25">
      <c r="A1201" s="2"/>
      <c r="B1201" s="2"/>
      <c r="C1201" s="3"/>
      <c r="D1201" s="2"/>
      <c r="E1201" s="2"/>
      <c r="F1201" s="2"/>
      <c r="G1201" s="9"/>
    </row>
    <row r="1202" spans="1:7" x14ac:dyDescent="0.25">
      <c r="A1202" s="2"/>
      <c r="B1202" s="2"/>
      <c r="C1202" s="3"/>
      <c r="D1202" s="2"/>
      <c r="E1202" s="2"/>
      <c r="F1202" s="2"/>
      <c r="G1202" s="9"/>
    </row>
    <row r="1203" spans="1:7" x14ac:dyDescent="0.25">
      <c r="A1203" s="2"/>
      <c r="B1203" s="2"/>
      <c r="C1203" s="3"/>
      <c r="D1203" s="2"/>
      <c r="E1203" s="2"/>
      <c r="F1203" s="2"/>
      <c r="G1203" s="9"/>
    </row>
    <row r="1204" spans="1:7" x14ac:dyDescent="0.25">
      <c r="A1204" s="2"/>
      <c r="B1204" s="2"/>
      <c r="C1204" s="3"/>
      <c r="D1204" s="2"/>
      <c r="E1204" s="2"/>
      <c r="F1204" s="2"/>
      <c r="G1204" s="9"/>
    </row>
    <row r="1205" spans="1:7" x14ac:dyDescent="0.25">
      <c r="A1205" s="2"/>
      <c r="B1205" s="2"/>
      <c r="C1205" s="3"/>
      <c r="D1205" s="2"/>
      <c r="E1205" s="2"/>
      <c r="F1205" s="2"/>
      <c r="G1205" s="9"/>
    </row>
    <row r="1206" spans="1:7" x14ac:dyDescent="0.25">
      <c r="A1206" s="2"/>
      <c r="B1206" s="2"/>
      <c r="C1206" s="3"/>
      <c r="D1206" s="2"/>
      <c r="E1206" s="2"/>
      <c r="F1206" s="2"/>
      <c r="G1206" s="9"/>
    </row>
    <row r="1207" spans="1:7" x14ac:dyDescent="0.25">
      <c r="A1207" s="2"/>
      <c r="B1207" s="2"/>
      <c r="C1207" s="3"/>
      <c r="D1207" s="2"/>
      <c r="E1207" s="2"/>
      <c r="F1207" s="2"/>
      <c r="G1207" s="9"/>
    </row>
    <row r="1208" spans="1:7" x14ac:dyDescent="0.25">
      <c r="A1208" s="2"/>
      <c r="B1208" s="2"/>
      <c r="C1208" s="3"/>
      <c r="D1208" s="2"/>
      <c r="E1208" s="2"/>
      <c r="F1208" s="2"/>
      <c r="G1208" s="9"/>
    </row>
    <row r="1209" spans="1:7" x14ac:dyDescent="0.25">
      <c r="A1209" s="2"/>
      <c r="B1209" s="2"/>
      <c r="C1209" s="3"/>
      <c r="D1209" s="2"/>
      <c r="E1209" s="2"/>
      <c r="F1209" s="2"/>
      <c r="G1209" s="9"/>
    </row>
    <row r="1210" spans="1:7" x14ac:dyDescent="0.25">
      <c r="A1210" s="2"/>
      <c r="B1210" s="2"/>
      <c r="C1210" s="3"/>
      <c r="D1210" s="2"/>
      <c r="E1210" s="2"/>
      <c r="F1210" s="2"/>
      <c r="G1210" s="9"/>
    </row>
    <row r="1211" spans="1:7" x14ac:dyDescent="0.25">
      <c r="A1211" s="2"/>
      <c r="B1211" s="2"/>
      <c r="C1211" s="3"/>
      <c r="D1211" s="2"/>
      <c r="E1211" s="2"/>
      <c r="F1211" s="2"/>
      <c r="G1211" s="9"/>
    </row>
    <row r="1212" spans="1:7" x14ac:dyDescent="0.25">
      <c r="A1212" s="2"/>
      <c r="B1212" s="2"/>
      <c r="C1212" s="3"/>
      <c r="D1212" s="2"/>
      <c r="E1212" s="2"/>
      <c r="F1212" s="2"/>
      <c r="G1212" s="9"/>
    </row>
    <row r="1213" spans="1:7" x14ac:dyDescent="0.25">
      <c r="A1213" s="2"/>
      <c r="B1213" s="2"/>
      <c r="C1213" s="3"/>
      <c r="D1213" s="2"/>
      <c r="E1213" s="2"/>
      <c r="F1213" s="2"/>
      <c r="G1213" s="9"/>
    </row>
    <row r="1214" spans="1:7" x14ac:dyDescent="0.25">
      <c r="A1214" s="2"/>
      <c r="B1214" s="2"/>
      <c r="C1214" s="3"/>
      <c r="D1214" s="2"/>
      <c r="E1214" s="2"/>
      <c r="F1214" s="2"/>
      <c r="G1214" s="9"/>
    </row>
    <row r="1215" spans="1:7" x14ac:dyDescent="0.25">
      <c r="A1215" s="2"/>
      <c r="B1215" s="2"/>
      <c r="C1215" s="3"/>
      <c r="D1215" s="2"/>
      <c r="E1215" s="2"/>
      <c r="F1215" s="2"/>
      <c r="G1215" s="9"/>
    </row>
    <row r="1216" spans="1:7" x14ac:dyDescent="0.25">
      <c r="A1216" s="2"/>
      <c r="B1216" s="2"/>
      <c r="C1216" s="3"/>
      <c r="D1216" s="2"/>
      <c r="E1216" s="2"/>
      <c r="F1216" s="2"/>
      <c r="G1216" s="9"/>
    </row>
    <row r="1217" spans="1:7" x14ac:dyDescent="0.25">
      <c r="A1217" s="2"/>
      <c r="B1217" s="2"/>
      <c r="C1217" s="3"/>
      <c r="D1217" s="2"/>
      <c r="E1217" s="2"/>
      <c r="F1217" s="2"/>
      <c r="G1217" s="9"/>
    </row>
    <row r="1218" spans="1:7" x14ac:dyDescent="0.25">
      <c r="A1218" s="2"/>
      <c r="B1218" s="2"/>
      <c r="C1218" s="3"/>
      <c r="D1218" s="2"/>
      <c r="E1218" s="2"/>
      <c r="F1218" s="2"/>
      <c r="G1218" s="9"/>
    </row>
    <row r="1219" spans="1:7" x14ac:dyDescent="0.25">
      <c r="A1219" s="6"/>
      <c r="B1219" s="3"/>
      <c r="C1219" s="3"/>
      <c r="D1219" s="2"/>
      <c r="E1219" s="2"/>
      <c r="F1219" s="2"/>
      <c r="G1219" s="9"/>
    </row>
    <row r="1220" spans="1:7" x14ac:dyDescent="0.25">
      <c r="A1220" s="6"/>
      <c r="B1220" s="3"/>
      <c r="C1220" s="3"/>
      <c r="D1220" s="2"/>
      <c r="E1220" s="2"/>
      <c r="F1220" s="2"/>
      <c r="G1220" s="9"/>
    </row>
    <row r="1221" spans="1:7" x14ac:dyDescent="0.25">
      <c r="A1221" s="6"/>
      <c r="B1221" s="3"/>
      <c r="C1221" s="3"/>
      <c r="D1221" s="2"/>
      <c r="E1221" s="2"/>
      <c r="F1221" s="2"/>
      <c r="G1221" s="9"/>
    </row>
    <row r="1222" spans="1:7" x14ac:dyDescent="0.25">
      <c r="A1222" s="6"/>
      <c r="B1222" s="3"/>
      <c r="C1222" s="3"/>
      <c r="D1222" s="2"/>
      <c r="E1222" s="2"/>
      <c r="F1222" s="2"/>
      <c r="G1222" s="9"/>
    </row>
    <row r="1223" spans="1:7" x14ac:dyDescent="0.25">
      <c r="A1223" s="6"/>
      <c r="B1223" s="3"/>
      <c r="C1223" s="3"/>
      <c r="D1223" s="2"/>
      <c r="E1223" s="2"/>
      <c r="F1223" s="2"/>
      <c r="G1223" s="9"/>
    </row>
    <row r="1224" spans="1:7" x14ac:dyDescent="0.25">
      <c r="A1224" s="6"/>
      <c r="B1224" s="3"/>
      <c r="C1224" s="3"/>
      <c r="D1224" s="2"/>
      <c r="E1224" s="2"/>
      <c r="F1224" s="2"/>
      <c r="G1224" s="9"/>
    </row>
    <row r="1225" spans="1:7" x14ac:dyDescent="0.25">
      <c r="A1225" s="6"/>
      <c r="B1225" s="3"/>
      <c r="C1225" s="3"/>
      <c r="D1225" s="2"/>
      <c r="E1225" s="2"/>
      <c r="F1225" s="2"/>
      <c r="G1225" s="9"/>
    </row>
    <row r="1226" spans="1:7" x14ac:dyDescent="0.25">
      <c r="A1226" s="6"/>
      <c r="B1226" s="3"/>
      <c r="C1226" s="3"/>
      <c r="D1226" s="2"/>
      <c r="E1226" s="2"/>
      <c r="F1226" s="2"/>
      <c r="G1226" s="9"/>
    </row>
    <row r="1227" spans="1:7" x14ac:dyDescent="0.25">
      <c r="A1227" s="6"/>
      <c r="B1227" s="3"/>
      <c r="C1227" s="3"/>
      <c r="D1227" s="2"/>
      <c r="E1227" s="2"/>
      <c r="F1227" s="2"/>
      <c r="G1227" s="9"/>
    </row>
    <row r="1228" spans="1:7" x14ac:dyDescent="0.25">
      <c r="A1228" s="6"/>
      <c r="B1228" s="3"/>
      <c r="C1228" s="3"/>
      <c r="D1228" s="2"/>
      <c r="E1228" s="2"/>
      <c r="F1228" s="2"/>
      <c r="G1228" s="9"/>
    </row>
    <row r="1229" spans="1:7" x14ac:dyDescent="0.25">
      <c r="A1229" s="6"/>
      <c r="B1229" s="3"/>
      <c r="C1229" s="3"/>
      <c r="D1229" s="2"/>
      <c r="E1229" s="2"/>
      <c r="F1229" s="2"/>
      <c r="G1229" s="9"/>
    </row>
    <row r="1230" spans="1:7" x14ac:dyDescent="0.25">
      <c r="A1230" s="6"/>
      <c r="B1230" s="3"/>
      <c r="C1230" s="3"/>
      <c r="D1230" s="2"/>
      <c r="E1230" s="2"/>
      <c r="F1230" s="2"/>
      <c r="G1230" s="9"/>
    </row>
    <row r="1231" spans="1:7" x14ac:dyDescent="0.25">
      <c r="A1231" s="6"/>
      <c r="B1231" s="3"/>
      <c r="C1231" s="3"/>
      <c r="D1231" s="2"/>
      <c r="E1231" s="2"/>
      <c r="F1231" s="2"/>
      <c r="G1231" s="9"/>
    </row>
    <row r="1232" spans="1:7" x14ac:dyDescent="0.25">
      <c r="A1232" s="6"/>
      <c r="B1232" s="3"/>
      <c r="C1232" s="3"/>
      <c r="D1232" s="2"/>
      <c r="E1232" s="2"/>
      <c r="F1232" s="2"/>
      <c r="G1232" s="9"/>
    </row>
    <row r="1233" spans="1:7" x14ac:dyDescent="0.25">
      <c r="A1233" s="6"/>
      <c r="B1233" s="3"/>
      <c r="C1233" s="3"/>
      <c r="D1233" s="2"/>
      <c r="E1233" s="2"/>
      <c r="F1233" s="2"/>
      <c r="G1233" s="9"/>
    </row>
    <row r="1234" spans="1:7" x14ac:dyDescent="0.25">
      <c r="A1234" s="6"/>
      <c r="B1234" s="3"/>
      <c r="C1234" s="3"/>
      <c r="D1234" s="2"/>
      <c r="E1234" s="2"/>
      <c r="F1234" s="2"/>
      <c r="G1234" s="9"/>
    </row>
    <row r="1235" spans="1:7" x14ac:dyDescent="0.25">
      <c r="A1235" s="6"/>
      <c r="B1235" s="3"/>
      <c r="C1235" s="3"/>
      <c r="D1235" s="2"/>
      <c r="E1235" s="2"/>
      <c r="F1235" s="2"/>
      <c r="G1235" s="9"/>
    </row>
    <row r="1236" spans="1:7" x14ac:dyDescent="0.25">
      <c r="A1236" s="6"/>
      <c r="B1236" s="3"/>
      <c r="C1236" s="3"/>
      <c r="D1236" s="2"/>
      <c r="E1236" s="2"/>
      <c r="F1236" s="2"/>
      <c r="G1236" s="9"/>
    </row>
    <row r="1237" spans="1:7" x14ac:dyDescent="0.25">
      <c r="A1237" s="6"/>
      <c r="B1237" s="3"/>
      <c r="C1237" s="3"/>
      <c r="D1237" s="2"/>
      <c r="E1237" s="2"/>
      <c r="F1237" s="2"/>
      <c r="G1237" s="9"/>
    </row>
    <row r="1238" spans="1:7" x14ac:dyDescent="0.25">
      <c r="A1238" s="6"/>
      <c r="B1238" s="3"/>
      <c r="C1238" s="3"/>
      <c r="D1238" s="2"/>
      <c r="E1238" s="2"/>
      <c r="F1238" s="2"/>
      <c r="G1238" s="9"/>
    </row>
    <row r="1239" spans="1:7" x14ac:dyDescent="0.25">
      <c r="A1239" s="6"/>
      <c r="B1239" s="3"/>
      <c r="C1239" s="3"/>
      <c r="D1239" s="2"/>
      <c r="E1239" s="2"/>
      <c r="F1239" s="2"/>
      <c r="G1239" s="9"/>
    </row>
    <row r="1240" spans="1:7" x14ac:dyDescent="0.25">
      <c r="A1240" s="6"/>
      <c r="B1240" s="3"/>
      <c r="C1240" s="3"/>
      <c r="D1240" s="2"/>
      <c r="E1240" s="2"/>
      <c r="F1240" s="2"/>
      <c r="G1240" s="9"/>
    </row>
    <row r="1241" spans="1:7" x14ac:dyDescent="0.25">
      <c r="A1241" s="6"/>
      <c r="B1241" s="3"/>
      <c r="C1241" s="3"/>
      <c r="D1241" s="2"/>
      <c r="E1241" s="2"/>
      <c r="F1241" s="2"/>
      <c r="G1241" s="9"/>
    </row>
    <row r="1242" spans="1:7" x14ac:dyDescent="0.25">
      <c r="A1242" s="6"/>
      <c r="B1242" s="3"/>
      <c r="C1242" s="3"/>
      <c r="D1242" s="2"/>
      <c r="E1242" s="2"/>
      <c r="F1242" s="2"/>
      <c r="G1242" s="9"/>
    </row>
    <row r="1243" spans="1:7" x14ac:dyDescent="0.25">
      <c r="A1243" s="6"/>
      <c r="B1243" s="3"/>
      <c r="C1243" s="3"/>
      <c r="D1243" s="2"/>
      <c r="E1243" s="2"/>
      <c r="F1243" s="2"/>
      <c r="G1243" s="9"/>
    </row>
    <row r="1244" spans="1:7" x14ac:dyDescent="0.25">
      <c r="A1244" s="6"/>
      <c r="B1244" s="3"/>
      <c r="C1244" s="3"/>
      <c r="D1244" s="2"/>
      <c r="E1244" s="2"/>
      <c r="F1244" s="2"/>
      <c r="G1244" s="9"/>
    </row>
    <row r="1245" spans="1:7" x14ac:dyDescent="0.25">
      <c r="A1245" s="6"/>
      <c r="B1245" s="3"/>
      <c r="C1245" s="3"/>
      <c r="D1245" s="2"/>
      <c r="E1245" s="2"/>
      <c r="F1245" s="2"/>
      <c r="G1245" s="9"/>
    </row>
    <row r="1246" spans="1:7" x14ac:dyDescent="0.25">
      <c r="A1246" s="6"/>
      <c r="B1246" s="3"/>
      <c r="C1246" s="3"/>
      <c r="D1246" s="2"/>
      <c r="E1246" s="2"/>
      <c r="F1246" s="2"/>
      <c r="G1246" s="9"/>
    </row>
    <row r="1247" spans="1:7" x14ac:dyDescent="0.25">
      <c r="A1247" s="6"/>
      <c r="B1247" s="3"/>
      <c r="C1247" s="3"/>
      <c r="D1247" s="2"/>
      <c r="E1247" s="2"/>
      <c r="F1247" s="2"/>
      <c r="G1247" s="9"/>
    </row>
    <row r="1248" spans="1:7" x14ac:dyDescent="0.25">
      <c r="A1248" s="6"/>
      <c r="B1248" s="3"/>
      <c r="C1248" s="3"/>
      <c r="D1248" s="2"/>
      <c r="E1248" s="2"/>
      <c r="F1248" s="2"/>
      <c r="G1248" s="9"/>
    </row>
    <row r="1249" spans="1:7" x14ac:dyDescent="0.25">
      <c r="A1249" s="6"/>
      <c r="B1249" s="3"/>
      <c r="C1249" s="3"/>
      <c r="D1249" s="2"/>
      <c r="E1249" s="2"/>
      <c r="F1249" s="2"/>
      <c r="G1249" s="9"/>
    </row>
    <row r="1250" spans="1:7" x14ac:dyDescent="0.25">
      <c r="A1250" s="6"/>
      <c r="B1250" s="3"/>
      <c r="C1250" s="3"/>
      <c r="D1250" s="2"/>
      <c r="E1250" s="2"/>
      <c r="F1250" s="2"/>
      <c r="G1250" s="9"/>
    </row>
    <row r="1251" spans="1:7" x14ac:dyDescent="0.25">
      <c r="A1251" s="6"/>
      <c r="B1251" s="3"/>
      <c r="C1251" s="3"/>
      <c r="D1251" s="2"/>
      <c r="E1251" s="2"/>
      <c r="F1251" s="2"/>
      <c r="G1251" s="9"/>
    </row>
    <row r="1252" spans="1:7" x14ac:dyDescent="0.25">
      <c r="A1252" s="6"/>
      <c r="B1252" s="3"/>
      <c r="C1252" s="3"/>
      <c r="D1252" s="2"/>
      <c r="E1252" s="2"/>
      <c r="F1252" s="2"/>
      <c r="G1252" s="9"/>
    </row>
    <row r="1253" spans="1:7" x14ac:dyDescent="0.25">
      <c r="A1253" s="6"/>
      <c r="B1253" s="3"/>
      <c r="C1253" s="3"/>
      <c r="D1253" s="2"/>
      <c r="E1253" s="2"/>
      <c r="F1253" s="2"/>
      <c r="G1253" s="9"/>
    </row>
    <row r="1254" spans="1:7" x14ac:dyDescent="0.25">
      <c r="A1254" s="6"/>
      <c r="B1254" s="3"/>
      <c r="C1254" s="3"/>
      <c r="D1254" s="2"/>
      <c r="E1254" s="2"/>
      <c r="F1254" s="2"/>
      <c r="G1254" s="9"/>
    </row>
    <row r="1255" spans="1:7" x14ac:dyDescent="0.25">
      <c r="A1255" s="6"/>
      <c r="B1255" s="3"/>
      <c r="C1255" s="3"/>
      <c r="D1255" s="2"/>
      <c r="E1255" s="2"/>
      <c r="F1255" s="2"/>
      <c r="G1255" s="9"/>
    </row>
    <row r="1256" spans="1:7" x14ac:dyDescent="0.25">
      <c r="A1256" s="6"/>
      <c r="B1256" s="3"/>
      <c r="C1256" s="3"/>
      <c r="D1256" s="2"/>
      <c r="E1256" s="2"/>
      <c r="F1256" s="2"/>
      <c r="G1256" s="9"/>
    </row>
    <row r="1257" spans="1:7" x14ac:dyDescent="0.25">
      <c r="A1257" s="6"/>
      <c r="B1257" s="3"/>
      <c r="C1257" s="3"/>
      <c r="D1257" s="2"/>
      <c r="E1257" s="2"/>
      <c r="F1257" s="2"/>
      <c r="G1257" s="9"/>
    </row>
    <row r="1258" spans="1:7" x14ac:dyDescent="0.25">
      <c r="A1258" s="6"/>
      <c r="B1258" s="3"/>
      <c r="C1258" s="3"/>
      <c r="D1258" s="2"/>
      <c r="E1258" s="2"/>
      <c r="F1258" s="2"/>
      <c r="G1258" s="9"/>
    </row>
    <row r="1259" spans="1:7" x14ac:dyDescent="0.25">
      <c r="A1259" s="6"/>
      <c r="B1259" s="3"/>
      <c r="C1259" s="3"/>
      <c r="D1259" s="2"/>
      <c r="E1259" s="2"/>
      <c r="F1259" s="2"/>
      <c r="G1259" s="9"/>
    </row>
    <row r="1260" spans="1:7" x14ac:dyDescent="0.25">
      <c r="A1260" s="6"/>
      <c r="B1260" s="3"/>
      <c r="C1260" s="3"/>
      <c r="D1260" s="2"/>
      <c r="E1260" s="2"/>
      <c r="F1260" s="2"/>
      <c r="G1260" s="9"/>
    </row>
    <row r="1261" spans="1:7" x14ac:dyDescent="0.25">
      <c r="A1261" s="6"/>
      <c r="B1261" s="3"/>
      <c r="C1261" s="3"/>
      <c r="D1261" s="2"/>
      <c r="E1261" s="2"/>
      <c r="F1261" s="2"/>
      <c r="G1261" s="9"/>
    </row>
    <row r="1262" spans="1:7" x14ac:dyDescent="0.25">
      <c r="A1262" s="6"/>
      <c r="B1262" s="3"/>
      <c r="C1262" s="3"/>
      <c r="D1262" s="2"/>
      <c r="E1262" s="2"/>
      <c r="F1262" s="2"/>
      <c r="G1262" s="9"/>
    </row>
    <row r="1263" spans="1:7" x14ac:dyDescent="0.25">
      <c r="A1263" s="6"/>
      <c r="B1263" s="3"/>
      <c r="C1263" s="3"/>
      <c r="D1263" s="2"/>
      <c r="E1263" s="2"/>
      <c r="F1263" s="2"/>
      <c r="G1263" s="9"/>
    </row>
    <row r="1264" spans="1:7" x14ac:dyDescent="0.25">
      <c r="A1264" s="6"/>
      <c r="B1264" s="3"/>
      <c r="C1264" s="3"/>
      <c r="D1264" s="2"/>
      <c r="E1264" s="2"/>
      <c r="F1264" s="2"/>
      <c r="G1264" s="9"/>
    </row>
    <row r="1265" spans="1:7" x14ac:dyDescent="0.25">
      <c r="A1265" s="6"/>
      <c r="B1265" s="3"/>
      <c r="C1265" s="3"/>
      <c r="D1265" s="2"/>
      <c r="E1265" s="2"/>
      <c r="F1265" s="2"/>
      <c r="G1265" s="9"/>
    </row>
    <row r="1266" spans="1:7" x14ac:dyDescent="0.25">
      <c r="A1266" s="6"/>
      <c r="B1266" s="3"/>
      <c r="C1266" s="3"/>
      <c r="D1266" s="2"/>
      <c r="E1266" s="2"/>
      <c r="F1266" s="2"/>
      <c r="G1266" s="9"/>
    </row>
    <row r="1267" spans="1:7" x14ac:dyDescent="0.25">
      <c r="A1267" s="6"/>
      <c r="B1267" s="3"/>
      <c r="C1267" s="3"/>
      <c r="D1267" s="2"/>
      <c r="E1267" s="2"/>
      <c r="F1267" s="2"/>
      <c r="G1267" s="9"/>
    </row>
    <row r="1268" spans="1:7" x14ac:dyDescent="0.25">
      <c r="A1268" s="6"/>
      <c r="B1268" s="3"/>
      <c r="C1268" s="3"/>
      <c r="D1268" s="2"/>
      <c r="E1268" s="2"/>
      <c r="F1268" s="2"/>
      <c r="G1268" s="9"/>
    </row>
    <row r="1269" spans="1:7" x14ac:dyDescent="0.25">
      <c r="A1269" s="6"/>
      <c r="B1269" s="3"/>
      <c r="C1269" s="3"/>
      <c r="D1269" s="2"/>
      <c r="E1269" s="2"/>
      <c r="F1269" s="2"/>
      <c r="G1269" s="9"/>
    </row>
    <row r="1270" spans="1:7" x14ac:dyDescent="0.25">
      <c r="A1270" s="6"/>
      <c r="B1270" s="3"/>
      <c r="C1270" s="3"/>
      <c r="D1270" s="2"/>
      <c r="E1270" s="2"/>
      <c r="F1270" s="2"/>
      <c r="G1270" s="9"/>
    </row>
    <row r="1271" spans="1:7" x14ac:dyDescent="0.25">
      <c r="A1271" s="6"/>
      <c r="B1271" s="3"/>
      <c r="C1271" s="3"/>
      <c r="D1271" s="2"/>
      <c r="E1271" s="2"/>
      <c r="F1271" s="2"/>
      <c r="G1271" s="9"/>
    </row>
    <row r="1272" spans="1:7" x14ac:dyDescent="0.25">
      <c r="A1272" s="6"/>
      <c r="B1272" s="3"/>
      <c r="C1272" s="3"/>
      <c r="D1272" s="2"/>
      <c r="E1272" s="2"/>
      <c r="F1272" s="2"/>
      <c r="G1272" s="9"/>
    </row>
    <row r="1273" spans="1:7" x14ac:dyDescent="0.25">
      <c r="A1273" s="6"/>
      <c r="B1273" s="3"/>
      <c r="C1273" s="3"/>
      <c r="D1273" s="2"/>
      <c r="E1273" s="2"/>
      <c r="F1273" s="2"/>
      <c r="G1273" s="9"/>
    </row>
    <row r="1274" spans="1:7" x14ac:dyDescent="0.25">
      <c r="A1274" s="6"/>
      <c r="B1274" s="3"/>
      <c r="C1274" s="3"/>
      <c r="D1274" s="2"/>
      <c r="E1274" s="2"/>
      <c r="F1274" s="2"/>
      <c r="G1274" s="9"/>
    </row>
    <row r="1275" spans="1:7" x14ac:dyDescent="0.25">
      <c r="A1275" s="6"/>
      <c r="B1275" s="3"/>
      <c r="C1275" s="3"/>
      <c r="D1275" s="2"/>
      <c r="E1275" s="2"/>
      <c r="F1275" s="2"/>
      <c r="G1275" s="9"/>
    </row>
    <row r="1276" spans="1:7" x14ac:dyDescent="0.25">
      <c r="A1276" s="6"/>
      <c r="B1276" s="3"/>
      <c r="C1276" s="3"/>
      <c r="D1276" s="2"/>
      <c r="E1276" s="2"/>
      <c r="F1276" s="2"/>
      <c r="G1276" s="9"/>
    </row>
    <row r="1277" spans="1:7" x14ac:dyDescent="0.25">
      <c r="A1277" s="6"/>
      <c r="B1277" s="3"/>
      <c r="C1277" s="3"/>
      <c r="D1277" s="2"/>
      <c r="E1277" s="2"/>
      <c r="F1277" s="2"/>
      <c r="G1277" s="9"/>
    </row>
    <row r="1278" spans="1:7" x14ac:dyDescent="0.25">
      <c r="A1278" s="6"/>
      <c r="B1278" s="3"/>
      <c r="C1278" s="3"/>
      <c r="D1278" s="2"/>
      <c r="E1278" s="2"/>
      <c r="F1278" s="2"/>
      <c r="G1278" s="9"/>
    </row>
    <row r="1279" spans="1:7" x14ac:dyDescent="0.25">
      <c r="A1279" s="6"/>
      <c r="B1279" s="3"/>
      <c r="C1279" s="3"/>
      <c r="D1279" s="2"/>
      <c r="E1279" s="2"/>
      <c r="F1279" s="2"/>
      <c r="G1279" s="9"/>
    </row>
    <row r="1280" spans="1:7" x14ac:dyDescent="0.25">
      <c r="A1280" s="6"/>
      <c r="B1280" s="3"/>
      <c r="C1280" s="3"/>
      <c r="D1280" s="2"/>
      <c r="E1280" s="2"/>
      <c r="F1280" s="2"/>
      <c r="G1280" s="9"/>
    </row>
    <row r="1281" spans="1:7" x14ac:dyDescent="0.25">
      <c r="A1281" s="6"/>
      <c r="B1281" s="3"/>
      <c r="C1281" s="3"/>
      <c r="D1281" s="2"/>
      <c r="E1281" s="2"/>
      <c r="F1281" s="2"/>
      <c r="G1281" s="9"/>
    </row>
    <row r="1282" spans="1:7" x14ac:dyDescent="0.25">
      <c r="A1282" s="6"/>
      <c r="B1282" s="3"/>
      <c r="C1282" s="3"/>
      <c r="D1282" s="2"/>
      <c r="E1282" s="2"/>
      <c r="F1282" s="2"/>
      <c r="G1282" s="9"/>
    </row>
    <row r="1283" spans="1:7" x14ac:dyDescent="0.25">
      <c r="A1283" s="6"/>
      <c r="B1283" s="3"/>
      <c r="C1283" s="3"/>
      <c r="D1283" s="2"/>
      <c r="E1283" s="2"/>
      <c r="F1283" s="2"/>
      <c r="G1283" s="9"/>
    </row>
    <row r="1284" spans="1:7" x14ac:dyDescent="0.25">
      <c r="A1284" s="6"/>
      <c r="B1284" s="3"/>
      <c r="C1284" s="3"/>
      <c r="D1284" s="2"/>
      <c r="E1284" s="2"/>
      <c r="F1284" s="2"/>
      <c r="G1284" s="9"/>
    </row>
    <row r="1285" spans="1:7" x14ac:dyDescent="0.25">
      <c r="A1285" s="6"/>
      <c r="B1285" s="3"/>
      <c r="C1285" s="3"/>
      <c r="D1285" s="2"/>
      <c r="E1285" s="2"/>
      <c r="F1285" s="2"/>
      <c r="G1285" s="9"/>
    </row>
    <row r="1286" spans="1:7" x14ac:dyDescent="0.25">
      <c r="A1286" s="6"/>
      <c r="B1286" s="3"/>
      <c r="C1286" s="3"/>
      <c r="D1286" s="2"/>
      <c r="E1286" s="2"/>
      <c r="F1286" s="2"/>
      <c r="G1286" s="9"/>
    </row>
    <row r="1287" spans="1:7" x14ac:dyDescent="0.25">
      <c r="A1287" s="6"/>
      <c r="B1287" s="3"/>
      <c r="C1287" s="3"/>
      <c r="D1287" s="2"/>
      <c r="E1287" s="2"/>
      <c r="F1287" s="2"/>
      <c r="G1287" s="9"/>
    </row>
    <row r="1288" spans="1:7" x14ac:dyDescent="0.25">
      <c r="A1288" s="6"/>
      <c r="B1288" s="3"/>
      <c r="C1288" s="3"/>
      <c r="D1288" s="2"/>
      <c r="E1288" s="2"/>
      <c r="F1288" s="2"/>
      <c r="G1288" s="9"/>
    </row>
    <row r="1289" spans="1:7" x14ac:dyDescent="0.25">
      <c r="A1289" s="6"/>
      <c r="B1289" s="3"/>
      <c r="C1289" s="3"/>
      <c r="D1289" s="2"/>
      <c r="E1289" s="2"/>
      <c r="F1289" s="2"/>
      <c r="G1289" s="9"/>
    </row>
    <row r="1290" spans="1:7" x14ac:dyDescent="0.25">
      <c r="A1290" s="6"/>
      <c r="B1290" s="3"/>
      <c r="C1290" s="3"/>
      <c r="D1290" s="2"/>
      <c r="E1290" s="2"/>
      <c r="F1290" s="2"/>
      <c r="G1290" s="9"/>
    </row>
    <row r="1291" spans="1:7" x14ac:dyDescent="0.25">
      <c r="A1291" s="6"/>
      <c r="B1291" s="3"/>
      <c r="C1291" s="3"/>
      <c r="D1291" s="2"/>
      <c r="E1291" s="2"/>
      <c r="F1291" s="2"/>
      <c r="G1291" s="9"/>
    </row>
    <row r="1292" spans="1:7" x14ac:dyDescent="0.25">
      <c r="A1292" s="6"/>
      <c r="B1292" s="3"/>
      <c r="C1292" s="3"/>
      <c r="D1292" s="2"/>
      <c r="E1292" s="2"/>
      <c r="F1292" s="2"/>
      <c r="G1292" s="9"/>
    </row>
    <row r="1293" spans="1:7" x14ac:dyDescent="0.25">
      <c r="A1293" s="6"/>
      <c r="B1293" s="3"/>
      <c r="C1293" s="3"/>
      <c r="D1293" s="2"/>
      <c r="E1293" s="2"/>
      <c r="F1293" s="2"/>
      <c r="G1293" s="9"/>
    </row>
    <row r="1294" spans="1:7" x14ac:dyDescent="0.25">
      <c r="A1294" s="6"/>
      <c r="B1294" s="3"/>
      <c r="C1294" s="3"/>
      <c r="D1294" s="2"/>
      <c r="E1294" s="2"/>
      <c r="F1294" s="2"/>
      <c r="G1294" s="9"/>
    </row>
    <row r="1295" spans="1:7" x14ac:dyDescent="0.25">
      <c r="A1295" s="6"/>
      <c r="B1295" s="3"/>
      <c r="C1295" s="3"/>
      <c r="D1295" s="2"/>
      <c r="E1295" s="2"/>
      <c r="F1295" s="2"/>
      <c r="G1295" s="9"/>
    </row>
    <row r="1296" spans="1:7" x14ac:dyDescent="0.25">
      <c r="A1296" s="6"/>
      <c r="B1296" s="3"/>
      <c r="C1296" s="3"/>
      <c r="D1296" s="2"/>
      <c r="E1296" s="2"/>
      <c r="F1296" s="2"/>
      <c r="G1296" s="9"/>
    </row>
    <row r="1297" spans="1:7" x14ac:dyDescent="0.25">
      <c r="A1297" s="6"/>
      <c r="B1297" s="3"/>
      <c r="C1297" s="3"/>
      <c r="D1297" s="2"/>
      <c r="E1297" s="2"/>
      <c r="F1297" s="2"/>
      <c r="G1297" s="9"/>
    </row>
    <row r="1298" spans="1:7" x14ac:dyDescent="0.25">
      <c r="A1298" s="6"/>
      <c r="B1298" s="3"/>
      <c r="C1298" s="3"/>
      <c r="D1298" s="2"/>
      <c r="E1298" s="2"/>
      <c r="F1298" s="2"/>
      <c r="G1298" s="9"/>
    </row>
    <row r="1299" spans="1:7" x14ac:dyDescent="0.25">
      <c r="A1299" s="6"/>
      <c r="B1299" s="3"/>
      <c r="C1299" s="3"/>
      <c r="D1299" s="2"/>
      <c r="E1299" s="2"/>
      <c r="F1299" s="2"/>
      <c r="G1299" s="9"/>
    </row>
    <row r="1300" spans="1:7" x14ac:dyDescent="0.25">
      <c r="A1300" s="6"/>
      <c r="B1300" s="3"/>
      <c r="C1300" s="3"/>
      <c r="D1300" s="2"/>
      <c r="E1300" s="2"/>
      <c r="F1300" s="2"/>
      <c r="G1300" s="9"/>
    </row>
    <row r="1301" spans="1:7" x14ac:dyDescent="0.25">
      <c r="A1301" s="6"/>
      <c r="B1301" s="3"/>
      <c r="C1301" s="3"/>
      <c r="D1301" s="2"/>
      <c r="E1301" s="2"/>
      <c r="F1301" s="2"/>
      <c r="G1301" s="9"/>
    </row>
    <row r="1302" spans="1:7" x14ac:dyDescent="0.25">
      <c r="A1302" s="6"/>
      <c r="B1302" s="3"/>
      <c r="C1302" s="3"/>
      <c r="D1302" s="2"/>
      <c r="E1302" s="2"/>
      <c r="F1302" s="2"/>
      <c r="G1302" s="9"/>
    </row>
    <row r="1303" spans="1:7" x14ac:dyDescent="0.25">
      <c r="A1303" s="6"/>
      <c r="B1303" s="3"/>
      <c r="C1303" s="3"/>
      <c r="D1303" s="2"/>
      <c r="E1303" s="2"/>
      <c r="F1303" s="2"/>
      <c r="G1303" s="9"/>
    </row>
    <row r="1304" spans="1:7" x14ac:dyDescent="0.25">
      <c r="A1304" s="6"/>
      <c r="B1304" s="3"/>
      <c r="C1304" s="3"/>
      <c r="D1304" s="2"/>
      <c r="E1304" s="2"/>
      <c r="F1304" s="2"/>
      <c r="G1304" s="9"/>
    </row>
    <row r="1305" spans="1:7" x14ac:dyDescent="0.25">
      <c r="A1305" s="6"/>
      <c r="B1305" s="3"/>
      <c r="C1305" s="3"/>
      <c r="D1305" s="2"/>
      <c r="E1305" s="2"/>
      <c r="F1305" s="2"/>
      <c r="G1305" s="9"/>
    </row>
    <row r="1306" spans="1:7" x14ac:dyDescent="0.25">
      <c r="A1306" s="6"/>
      <c r="B1306" s="3"/>
      <c r="C1306" s="3"/>
      <c r="D1306" s="2"/>
      <c r="E1306" s="2"/>
      <c r="F1306" s="2"/>
      <c r="G1306" s="9"/>
    </row>
    <row r="1307" spans="1:7" x14ac:dyDescent="0.25">
      <c r="A1307" s="6"/>
      <c r="B1307" s="3"/>
      <c r="C1307" s="3"/>
      <c r="D1307" s="2"/>
      <c r="E1307" s="2"/>
      <c r="F1307" s="2"/>
      <c r="G1307" s="9"/>
    </row>
    <row r="1308" spans="1:7" x14ac:dyDescent="0.25">
      <c r="A1308" s="6"/>
      <c r="B1308" s="3"/>
      <c r="C1308" s="3"/>
      <c r="D1308" s="2"/>
      <c r="E1308" s="2"/>
      <c r="F1308" s="2"/>
      <c r="G1308" s="9"/>
    </row>
    <row r="1309" spans="1:7" x14ac:dyDescent="0.25">
      <c r="A1309" s="6"/>
      <c r="B1309" s="3"/>
      <c r="C1309" s="3"/>
      <c r="D1309" s="2"/>
      <c r="E1309" s="2"/>
      <c r="F1309" s="2"/>
      <c r="G1309" s="9"/>
    </row>
    <row r="1310" spans="1:7" x14ac:dyDescent="0.25">
      <c r="A1310" s="6"/>
      <c r="B1310" s="3"/>
      <c r="C1310" s="3"/>
      <c r="D1310" s="2"/>
      <c r="E1310" s="2"/>
      <c r="F1310" s="2"/>
      <c r="G1310" s="9"/>
    </row>
    <row r="1311" spans="1:7" x14ac:dyDescent="0.25">
      <c r="A1311" s="6"/>
      <c r="B1311" s="3"/>
      <c r="C1311" s="3"/>
      <c r="D1311" s="2"/>
      <c r="E1311" s="2"/>
      <c r="F1311" s="2"/>
      <c r="G1311" s="9"/>
    </row>
    <row r="1312" spans="1:7" x14ac:dyDescent="0.25">
      <c r="A1312" s="6"/>
      <c r="B1312" s="3"/>
      <c r="C1312" s="3"/>
      <c r="D1312" s="2"/>
      <c r="E1312" s="2"/>
      <c r="F1312" s="2"/>
      <c r="G1312" s="9"/>
    </row>
    <row r="1313" spans="1:7" x14ac:dyDescent="0.25">
      <c r="A1313" s="6"/>
      <c r="B1313" s="3"/>
      <c r="C1313" s="3"/>
      <c r="D1313" s="2"/>
      <c r="E1313" s="2"/>
      <c r="F1313" s="2"/>
      <c r="G1313" s="9"/>
    </row>
    <row r="1314" spans="1:7" x14ac:dyDescent="0.25">
      <c r="A1314" s="6"/>
      <c r="B1314" s="3"/>
      <c r="C1314" s="3"/>
      <c r="D1314" s="2"/>
      <c r="E1314" s="2"/>
      <c r="F1314" s="2"/>
      <c r="G1314" s="9"/>
    </row>
    <row r="1315" spans="1:7" x14ac:dyDescent="0.25">
      <c r="A1315" s="6"/>
      <c r="B1315" s="3"/>
      <c r="C1315" s="3"/>
      <c r="D1315" s="2"/>
      <c r="E1315" s="2"/>
      <c r="F1315" s="2"/>
      <c r="G1315" s="9"/>
    </row>
    <row r="1316" spans="1:7" x14ac:dyDescent="0.25">
      <c r="A1316" s="6"/>
      <c r="B1316" s="3"/>
      <c r="C1316" s="3"/>
      <c r="D1316" s="2"/>
      <c r="E1316" s="2"/>
      <c r="F1316" s="2"/>
      <c r="G1316" s="9"/>
    </row>
    <row r="1317" spans="1:7" x14ac:dyDescent="0.25">
      <c r="A1317" s="6"/>
      <c r="B1317" s="3"/>
      <c r="C1317" s="3"/>
      <c r="D1317" s="2"/>
      <c r="E1317" s="2"/>
      <c r="F1317" s="2"/>
      <c r="G1317" s="9"/>
    </row>
    <row r="1318" spans="1:7" x14ac:dyDescent="0.25">
      <c r="A1318" s="6"/>
      <c r="B1318" s="3"/>
      <c r="C1318" s="3"/>
      <c r="D1318" s="2"/>
      <c r="E1318" s="2"/>
      <c r="F1318" s="2"/>
      <c r="G1318" s="9"/>
    </row>
    <row r="1319" spans="1:7" x14ac:dyDescent="0.25">
      <c r="A1319" s="6"/>
      <c r="B1319" s="3"/>
      <c r="C1319" s="3"/>
      <c r="D1319" s="2"/>
      <c r="E1319" s="2"/>
      <c r="F1319" s="2"/>
      <c r="G1319" s="9"/>
    </row>
    <row r="1320" spans="1:7" x14ac:dyDescent="0.25">
      <c r="A1320" s="6"/>
      <c r="B1320" s="3"/>
      <c r="C1320" s="3"/>
      <c r="D1320" s="2"/>
      <c r="E1320" s="2"/>
      <c r="F1320" s="2"/>
      <c r="G1320" s="9"/>
    </row>
    <row r="1321" spans="1:7" x14ac:dyDescent="0.25">
      <c r="A1321" s="6"/>
      <c r="B1321" s="3"/>
      <c r="C1321" s="3"/>
      <c r="D1321" s="2"/>
      <c r="E1321" s="2"/>
      <c r="F1321" s="2"/>
      <c r="G1321" s="9"/>
    </row>
    <row r="1322" spans="1:7" x14ac:dyDescent="0.25">
      <c r="A1322" s="6"/>
      <c r="B1322" s="3"/>
      <c r="C1322" s="3"/>
      <c r="D1322" s="2"/>
      <c r="E1322" s="2"/>
      <c r="F1322" s="2"/>
      <c r="G1322" s="9"/>
    </row>
    <row r="1323" spans="1:7" x14ac:dyDescent="0.25">
      <c r="A1323" s="6"/>
      <c r="B1323" s="3"/>
      <c r="C1323" s="3"/>
      <c r="D1323" s="2"/>
      <c r="E1323" s="2"/>
      <c r="F1323" s="2"/>
      <c r="G1323" s="9"/>
    </row>
    <row r="1324" spans="1:7" x14ac:dyDescent="0.25">
      <c r="A1324" s="6"/>
      <c r="B1324" s="3"/>
      <c r="C1324" s="3"/>
      <c r="D1324" s="2"/>
      <c r="E1324" s="2"/>
      <c r="F1324" s="2"/>
      <c r="G1324" s="9"/>
    </row>
    <row r="1325" spans="1:7" x14ac:dyDescent="0.25">
      <c r="A1325" s="6"/>
      <c r="B1325" s="3"/>
      <c r="C1325" s="3"/>
      <c r="D1325" s="2"/>
      <c r="E1325" s="2"/>
      <c r="F1325" s="2"/>
      <c r="G1325" s="9"/>
    </row>
    <row r="1326" spans="1:7" x14ac:dyDescent="0.25">
      <c r="A1326" s="6"/>
      <c r="B1326" s="3"/>
      <c r="C1326" s="3"/>
      <c r="D1326" s="2"/>
      <c r="E1326" s="2"/>
      <c r="F1326" s="2"/>
      <c r="G1326" s="9"/>
    </row>
    <row r="1327" spans="1:7" x14ac:dyDescent="0.25">
      <c r="A1327" s="6"/>
      <c r="B1327" s="3"/>
      <c r="C1327" s="3"/>
      <c r="D1327" s="2"/>
      <c r="E1327" s="2"/>
      <c r="F1327" s="2"/>
      <c r="G1327" s="9"/>
    </row>
    <row r="1328" spans="1:7" x14ac:dyDescent="0.25">
      <c r="A1328" s="6"/>
      <c r="B1328" s="3"/>
      <c r="C1328" s="3"/>
      <c r="D1328" s="2"/>
      <c r="E1328" s="2"/>
      <c r="F1328" s="2"/>
      <c r="G1328" s="9"/>
    </row>
    <row r="1329" spans="1:7" x14ac:dyDescent="0.25">
      <c r="A1329" s="6"/>
      <c r="B1329" s="3"/>
      <c r="C1329" s="3"/>
      <c r="D1329" s="2"/>
      <c r="E1329" s="2"/>
      <c r="F1329" s="2"/>
      <c r="G1329" s="9"/>
    </row>
    <row r="1330" spans="1:7" x14ac:dyDescent="0.25">
      <c r="A1330" s="6"/>
      <c r="B1330" s="3"/>
      <c r="C1330" s="3"/>
      <c r="D1330" s="2"/>
      <c r="E1330" s="2"/>
      <c r="F1330" s="2"/>
      <c r="G1330" s="9"/>
    </row>
    <row r="1331" spans="1:7" x14ac:dyDescent="0.25">
      <c r="A1331" s="6"/>
      <c r="B1331" s="3"/>
      <c r="C1331" s="3"/>
      <c r="D1331" s="2"/>
      <c r="E1331" s="2"/>
      <c r="F1331" s="2"/>
      <c r="G1331" s="9"/>
    </row>
    <row r="1332" spans="1:7" x14ac:dyDescent="0.25">
      <c r="A1332" s="6"/>
      <c r="B1332" s="3"/>
      <c r="C1332" s="3"/>
      <c r="D1332" s="2"/>
      <c r="E1332" s="2"/>
      <c r="F1332" s="2"/>
      <c r="G1332" s="9"/>
    </row>
    <row r="1333" spans="1:7" x14ac:dyDescent="0.25">
      <c r="A1333" s="6"/>
      <c r="B1333" s="3"/>
      <c r="C1333" s="3"/>
      <c r="D1333" s="2"/>
      <c r="E1333" s="2"/>
      <c r="F1333" s="2"/>
      <c r="G1333" s="9"/>
    </row>
    <row r="1334" spans="1:7" x14ac:dyDescent="0.25">
      <c r="A1334" s="6"/>
      <c r="B1334" s="3"/>
      <c r="C1334" s="3"/>
      <c r="D1334" s="2"/>
      <c r="E1334" s="2"/>
      <c r="F1334" s="2"/>
      <c r="G1334" s="9"/>
    </row>
    <row r="1335" spans="1:7" x14ac:dyDescent="0.25">
      <c r="A1335" s="6"/>
      <c r="B1335" s="3"/>
      <c r="C1335" s="3"/>
      <c r="D1335" s="2"/>
      <c r="E1335" s="2"/>
      <c r="F1335" s="2"/>
      <c r="G1335" s="9"/>
    </row>
    <row r="1336" spans="1:7" x14ac:dyDescent="0.25">
      <c r="A1336" s="6"/>
      <c r="B1336" s="3"/>
      <c r="C1336" s="3"/>
      <c r="D1336" s="2"/>
      <c r="E1336" s="2"/>
      <c r="F1336" s="2"/>
      <c r="G1336" s="9"/>
    </row>
    <row r="1337" spans="1:7" x14ac:dyDescent="0.25">
      <c r="A1337" s="6"/>
      <c r="B1337" s="3"/>
      <c r="C1337" s="3"/>
      <c r="D1337" s="2"/>
      <c r="E1337" s="2"/>
      <c r="F1337" s="2"/>
      <c r="G1337" s="9"/>
    </row>
    <row r="1338" spans="1:7" x14ac:dyDescent="0.25">
      <c r="A1338" s="6"/>
      <c r="B1338" s="3"/>
      <c r="C1338" s="3"/>
      <c r="D1338" s="2"/>
      <c r="E1338" s="2"/>
      <c r="F1338" s="2"/>
      <c r="G1338" s="9"/>
    </row>
    <row r="1339" spans="1:7" x14ac:dyDescent="0.25">
      <c r="A1339" s="6"/>
      <c r="B1339" s="3"/>
      <c r="C1339" s="3"/>
      <c r="D1339" s="2"/>
      <c r="E1339" s="2"/>
      <c r="F1339" s="2"/>
      <c r="G1339" s="9"/>
    </row>
    <row r="1340" spans="1:7" x14ac:dyDescent="0.25">
      <c r="A1340" s="6"/>
      <c r="B1340" s="3"/>
      <c r="C1340" s="3"/>
      <c r="D1340" s="2"/>
      <c r="E1340" s="2"/>
      <c r="F1340" s="2"/>
      <c r="G1340" s="9"/>
    </row>
    <row r="1341" spans="1:7" x14ac:dyDescent="0.25">
      <c r="A1341" s="6"/>
      <c r="B1341" s="3"/>
      <c r="C1341" s="3"/>
      <c r="D1341" s="2"/>
      <c r="E1341" s="2"/>
      <c r="F1341" s="2"/>
      <c r="G1341" s="9"/>
    </row>
    <row r="1342" spans="1:7" x14ac:dyDescent="0.25">
      <c r="A1342" s="6"/>
      <c r="B1342" s="3"/>
      <c r="C1342" s="3"/>
      <c r="D1342" s="2"/>
      <c r="E1342" s="2"/>
      <c r="F1342" s="2"/>
      <c r="G1342" s="9"/>
    </row>
    <row r="1343" spans="1:7" x14ac:dyDescent="0.25">
      <c r="A1343" s="6"/>
      <c r="B1343" s="3"/>
      <c r="C1343" s="3"/>
      <c r="D1343" s="2"/>
      <c r="E1343" s="2"/>
      <c r="F1343" s="2"/>
      <c r="G1343" s="9"/>
    </row>
    <row r="1344" spans="1:7" x14ac:dyDescent="0.25">
      <c r="A1344" s="6"/>
      <c r="B1344" s="3"/>
      <c r="C1344" s="3"/>
      <c r="D1344" s="2"/>
      <c r="E1344" s="2"/>
      <c r="F1344" s="2"/>
      <c r="G1344" s="9"/>
    </row>
    <row r="1345" spans="1:7" x14ac:dyDescent="0.25">
      <c r="A1345" s="6"/>
      <c r="B1345" s="3"/>
      <c r="C1345" s="3"/>
      <c r="D1345" s="2"/>
      <c r="E1345" s="2"/>
      <c r="F1345" s="2"/>
      <c r="G1345" s="9"/>
    </row>
    <row r="1346" spans="1:7" x14ac:dyDescent="0.25">
      <c r="A1346" s="6"/>
      <c r="B1346" s="3"/>
      <c r="C1346" s="3"/>
      <c r="D1346" s="2"/>
      <c r="E1346" s="2"/>
      <c r="F1346" s="2"/>
      <c r="G1346" s="9"/>
    </row>
    <row r="1347" spans="1:7" x14ac:dyDescent="0.25">
      <c r="A1347" s="6"/>
      <c r="B1347" s="3"/>
      <c r="C1347" s="3"/>
      <c r="D1347" s="2"/>
      <c r="E1347" s="2"/>
      <c r="F1347" s="2"/>
      <c r="G1347" s="9"/>
    </row>
    <row r="1348" spans="1:7" x14ac:dyDescent="0.25">
      <c r="A1348" s="6"/>
      <c r="B1348" s="3"/>
      <c r="C1348" s="3"/>
      <c r="D1348" s="2"/>
      <c r="E1348" s="2"/>
      <c r="F1348" s="2"/>
      <c r="G1348" s="9"/>
    </row>
    <row r="1349" spans="1:7" x14ac:dyDescent="0.25">
      <c r="A1349" s="6"/>
      <c r="B1349" s="3"/>
      <c r="C1349" s="3"/>
      <c r="D1349" s="2"/>
      <c r="E1349" s="2"/>
      <c r="F1349" s="2"/>
      <c r="G1349" s="9"/>
    </row>
    <row r="1350" spans="1:7" x14ac:dyDescent="0.25">
      <c r="A1350" s="6"/>
      <c r="B1350" s="3"/>
      <c r="C1350" s="3"/>
      <c r="D1350" s="2"/>
      <c r="E1350" s="2"/>
      <c r="F1350" s="2"/>
      <c r="G1350" s="9"/>
    </row>
    <row r="1351" spans="1:7" x14ac:dyDescent="0.25">
      <c r="A1351" s="6"/>
      <c r="B1351" s="3"/>
      <c r="C1351" s="3"/>
      <c r="D1351" s="2"/>
      <c r="E1351" s="2"/>
      <c r="F1351" s="2"/>
      <c r="G1351" s="9"/>
    </row>
    <row r="1352" spans="1:7" x14ac:dyDescent="0.25">
      <c r="A1352" s="6"/>
      <c r="B1352" s="3"/>
      <c r="C1352" s="3"/>
      <c r="D1352" s="2"/>
      <c r="E1352" s="2"/>
      <c r="F1352" s="2"/>
      <c r="G1352" s="9"/>
    </row>
    <row r="1353" spans="1:7" x14ac:dyDescent="0.25">
      <c r="A1353" s="6"/>
      <c r="B1353" s="3"/>
      <c r="C1353" s="3"/>
      <c r="D1353" s="2"/>
      <c r="E1353" s="2"/>
      <c r="F1353" s="2"/>
      <c r="G1353" s="9"/>
    </row>
    <row r="1354" spans="1:7" x14ac:dyDescent="0.25">
      <c r="A1354" s="6"/>
      <c r="B1354" s="3"/>
      <c r="C1354" s="3"/>
      <c r="D1354" s="2"/>
      <c r="E1354" s="2"/>
      <c r="F1354" s="2"/>
      <c r="G1354" s="9"/>
    </row>
    <row r="1355" spans="1:7" x14ac:dyDescent="0.25">
      <c r="A1355" s="6"/>
      <c r="B1355" s="3"/>
      <c r="C1355" s="3"/>
      <c r="D1355" s="2"/>
      <c r="E1355" s="2"/>
      <c r="F1355" s="2"/>
      <c r="G1355" s="9"/>
    </row>
    <row r="1356" spans="1:7" x14ac:dyDescent="0.25">
      <c r="A1356" s="6"/>
      <c r="B1356" s="3"/>
      <c r="C1356" s="3"/>
      <c r="D1356" s="2"/>
      <c r="E1356" s="2"/>
      <c r="F1356" s="2"/>
      <c r="G1356" s="9"/>
    </row>
    <row r="1357" spans="1:7" x14ac:dyDescent="0.25">
      <c r="A1357" s="6"/>
      <c r="B1357" s="3"/>
      <c r="C1357" s="3"/>
      <c r="D1357" s="2"/>
      <c r="E1357" s="2"/>
      <c r="F1357" s="2"/>
      <c r="G1357" s="9"/>
    </row>
    <row r="1358" spans="1:7" x14ac:dyDescent="0.25">
      <c r="A1358" s="6"/>
      <c r="B1358" s="3"/>
      <c r="C1358" s="3"/>
      <c r="D1358" s="2"/>
      <c r="E1358" s="2"/>
      <c r="F1358" s="2"/>
      <c r="G1358" s="9"/>
    </row>
    <row r="1359" spans="1:7" x14ac:dyDescent="0.25">
      <c r="A1359" s="6"/>
      <c r="B1359" s="3"/>
      <c r="C1359" s="3"/>
      <c r="D1359" s="2"/>
      <c r="E1359" s="2"/>
      <c r="F1359" s="2"/>
      <c r="G1359" s="9"/>
    </row>
    <row r="1360" spans="1:7" x14ac:dyDescent="0.25">
      <c r="A1360" s="6"/>
      <c r="B1360" s="3"/>
      <c r="C1360" s="3"/>
      <c r="D1360" s="2"/>
      <c r="E1360" s="2"/>
      <c r="F1360" s="2"/>
      <c r="G1360" s="9"/>
    </row>
    <row r="1361" spans="1:7" x14ac:dyDescent="0.25">
      <c r="A1361" s="6"/>
      <c r="B1361" s="3"/>
      <c r="C1361" s="3"/>
      <c r="D1361" s="2"/>
      <c r="E1361" s="2"/>
      <c r="F1361" s="2"/>
      <c r="G1361" s="9"/>
    </row>
    <row r="1362" spans="1:7" x14ac:dyDescent="0.25">
      <c r="A1362" s="6"/>
      <c r="B1362" s="3"/>
      <c r="C1362" s="3"/>
      <c r="D1362" s="2"/>
      <c r="E1362" s="2"/>
      <c r="F1362" s="2"/>
      <c r="G1362" s="9"/>
    </row>
    <row r="1363" spans="1:7" x14ac:dyDescent="0.25">
      <c r="A1363" s="6"/>
      <c r="B1363" s="3"/>
      <c r="C1363" s="3"/>
      <c r="D1363" s="2"/>
      <c r="E1363" s="2"/>
      <c r="F1363" s="2"/>
      <c r="G1363" s="9"/>
    </row>
    <row r="1364" spans="1:7" x14ac:dyDescent="0.25">
      <c r="A1364" s="6"/>
      <c r="B1364" s="3"/>
      <c r="C1364" s="3"/>
      <c r="D1364" s="2"/>
      <c r="E1364" s="2"/>
      <c r="F1364" s="2"/>
      <c r="G1364" s="9"/>
    </row>
    <row r="1365" spans="1:7" x14ac:dyDescent="0.25">
      <c r="A1365" s="6"/>
      <c r="B1365" s="3"/>
      <c r="C1365" s="3"/>
      <c r="D1365" s="2"/>
      <c r="E1365" s="2"/>
      <c r="F1365" s="2"/>
      <c r="G1365" s="9"/>
    </row>
    <row r="1366" spans="1:7" x14ac:dyDescent="0.25">
      <c r="A1366" s="6"/>
      <c r="B1366" s="3"/>
      <c r="C1366" s="3"/>
      <c r="D1366" s="2"/>
      <c r="E1366" s="2"/>
      <c r="F1366" s="2"/>
      <c r="G1366" s="9"/>
    </row>
    <row r="1367" spans="1:7" x14ac:dyDescent="0.25">
      <c r="A1367" s="6"/>
      <c r="B1367" s="3"/>
      <c r="C1367" s="3"/>
      <c r="D1367" s="2"/>
      <c r="E1367" s="2"/>
      <c r="F1367" s="2"/>
      <c r="G1367" s="9"/>
    </row>
    <row r="1368" spans="1:7" x14ac:dyDescent="0.25">
      <c r="A1368" s="6"/>
      <c r="B1368" s="3"/>
      <c r="C1368" s="3"/>
      <c r="D1368" s="2"/>
      <c r="E1368" s="2"/>
      <c r="F1368" s="2"/>
      <c r="G1368" s="9"/>
    </row>
    <row r="1369" spans="1:7" x14ac:dyDescent="0.25">
      <c r="A1369" s="6"/>
      <c r="B1369" s="3"/>
      <c r="C1369" s="3"/>
      <c r="D1369" s="2"/>
      <c r="E1369" s="2"/>
      <c r="F1369" s="2"/>
      <c r="G1369" s="9"/>
    </row>
    <row r="1370" spans="1:7" x14ac:dyDescent="0.25">
      <c r="A1370" s="6"/>
      <c r="B1370" s="3"/>
      <c r="C1370" s="3"/>
      <c r="D1370" s="2"/>
      <c r="E1370" s="2"/>
      <c r="F1370" s="2"/>
      <c r="G1370" s="9"/>
    </row>
    <row r="1371" spans="1:7" x14ac:dyDescent="0.25">
      <c r="A1371" s="6"/>
      <c r="B1371" s="3"/>
      <c r="C1371" s="3"/>
      <c r="D1371" s="2"/>
      <c r="E1371" s="2"/>
      <c r="F1371" s="2"/>
      <c r="G1371" s="9"/>
    </row>
    <row r="1372" spans="1:7" x14ac:dyDescent="0.25">
      <c r="A1372" s="6"/>
      <c r="B1372" s="3"/>
      <c r="C1372" s="3"/>
      <c r="D1372" s="2"/>
      <c r="E1372" s="2"/>
      <c r="F1372" s="2"/>
      <c r="G1372" s="9"/>
    </row>
    <row r="1373" spans="1:7" x14ac:dyDescent="0.25">
      <c r="A1373" s="6"/>
      <c r="B1373" s="3"/>
      <c r="C1373" s="3"/>
      <c r="D1373" s="2"/>
      <c r="E1373" s="7"/>
      <c r="F1373" s="2"/>
      <c r="G1373" s="9"/>
    </row>
    <row r="1374" spans="1:7" x14ac:dyDescent="0.25">
      <c r="A1374" s="6"/>
      <c r="B1374" s="3"/>
      <c r="C1374" s="3"/>
      <c r="D1374" s="2"/>
      <c r="E1374" s="7"/>
      <c r="F1374" s="2"/>
      <c r="G1374" s="9"/>
    </row>
    <row r="1375" spans="1:7" x14ac:dyDescent="0.25">
      <c r="A1375" s="6"/>
      <c r="B1375" s="3"/>
      <c r="C1375" s="3"/>
      <c r="D1375" s="2"/>
      <c r="E1375" s="7"/>
      <c r="F1375" s="2"/>
      <c r="G1375" s="9"/>
    </row>
    <row r="1376" spans="1:7" x14ac:dyDescent="0.25">
      <c r="A1376" s="6"/>
      <c r="B1376" s="3"/>
      <c r="C1376" s="3"/>
      <c r="D1376" s="2"/>
      <c r="E1376" s="7"/>
      <c r="F1376" s="2"/>
      <c r="G1376" s="9"/>
    </row>
    <row r="1377" spans="1:7" x14ac:dyDescent="0.25">
      <c r="A1377" s="6"/>
      <c r="B1377" s="3"/>
      <c r="C1377" s="3"/>
      <c r="D1377" s="2"/>
      <c r="E1377" s="7"/>
      <c r="F1377" s="2"/>
      <c r="G1377" s="9"/>
    </row>
    <row r="1378" spans="1:7" x14ac:dyDescent="0.25">
      <c r="A1378" s="6"/>
      <c r="B1378" s="3"/>
      <c r="C1378" s="3"/>
      <c r="D1378" s="2"/>
      <c r="E1378" s="7"/>
      <c r="F1378" s="2"/>
      <c r="G1378" s="9"/>
    </row>
    <row r="1379" spans="1:7" x14ac:dyDescent="0.25">
      <c r="A1379" s="6"/>
      <c r="B1379" s="3"/>
      <c r="C1379" s="3"/>
      <c r="D1379" s="2"/>
      <c r="E1379" s="7"/>
      <c r="F1379" s="2"/>
      <c r="G1379" s="9"/>
    </row>
    <row r="1380" spans="1:7" x14ac:dyDescent="0.25">
      <c r="A1380" s="6"/>
      <c r="B1380" s="3"/>
      <c r="C1380" s="3"/>
      <c r="D1380" s="2"/>
      <c r="E1380" s="7"/>
      <c r="F1380" s="2"/>
      <c r="G1380" s="9"/>
    </row>
    <row r="1381" spans="1:7" x14ac:dyDescent="0.25">
      <c r="A1381" s="6"/>
      <c r="B1381" s="3"/>
      <c r="C1381" s="3"/>
      <c r="D1381" s="2"/>
      <c r="E1381" s="7"/>
      <c r="F1381" s="2"/>
      <c r="G1381" s="9"/>
    </row>
    <row r="1382" spans="1:7" x14ac:dyDescent="0.25">
      <c r="A1382" s="6"/>
      <c r="B1382" s="3"/>
      <c r="C1382" s="3"/>
      <c r="D1382" s="2"/>
      <c r="E1382" s="7"/>
      <c r="F1382" s="2"/>
      <c r="G1382" s="9"/>
    </row>
    <row r="1383" spans="1:7" x14ac:dyDescent="0.25">
      <c r="A1383" s="6"/>
      <c r="B1383" s="3"/>
      <c r="C1383" s="3"/>
      <c r="D1383" s="2"/>
      <c r="E1383" s="2"/>
      <c r="F1383" s="2"/>
      <c r="G1383" s="9"/>
    </row>
    <row r="1384" spans="1:7" x14ac:dyDescent="0.25">
      <c r="A1384" s="6"/>
      <c r="B1384" s="3"/>
      <c r="C1384" s="3"/>
      <c r="D1384" s="2"/>
      <c r="E1384" s="1"/>
      <c r="F1384" s="2"/>
      <c r="G1384" s="9"/>
    </row>
    <row r="1385" spans="1:7" x14ac:dyDescent="0.25">
      <c r="A1385" s="6"/>
      <c r="B1385" s="3"/>
      <c r="C1385" s="3"/>
      <c r="D1385" s="2"/>
      <c r="E1385" s="1"/>
      <c r="F1385" s="2"/>
      <c r="G1385" s="9"/>
    </row>
    <row r="1386" spans="1:7" x14ac:dyDescent="0.25">
      <c r="A1386" s="6"/>
      <c r="B1386" s="3"/>
      <c r="C1386" s="3"/>
      <c r="D1386" s="2"/>
      <c r="E1386" s="1"/>
      <c r="F1386" s="2"/>
      <c r="G1386" s="9"/>
    </row>
    <row r="1387" spans="1:7" x14ac:dyDescent="0.25">
      <c r="A1387" s="6"/>
      <c r="B1387" s="3"/>
      <c r="C1387" s="3"/>
      <c r="D1387" s="2"/>
      <c r="E1387" s="1"/>
      <c r="F1387" s="2"/>
      <c r="G1387" s="9"/>
    </row>
  </sheetData>
  <autoFilter ref="A11:G37"/>
  <mergeCells count="3">
    <mergeCell ref="F1:G5"/>
    <mergeCell ref="C2:E7"/>
    <mergeCell ref="E887:E895"/>
  </mergeCells>
  <pageMargins left="0.7" right="0.7" top="0.75" bottom="0.75" header="0.3" footer="0.3"/>
  <pageSetup paperSize="9" scale="46" orientation="portrait" r:id="rId1"/>
  <rowBreaks count="1" manualBreakCount="1">
    <brk id="1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view="pageBreakPreview" zoomScale="80" zoomScaleNormal="100" zoomScaleSheetLayoutView="80" workbookViewId="0">
      <pane ySplit="11" topLeftCell="A159" activePane="bottomLeft" state="frozen"/>
      <selection pane="bottomLeft" activeCell="E175" sqref="E175"/>
    </sheetView>
  </sheetViews>
  <sheetFormatPr defaultColWidth="9.140625" defaultRowHeight="15" x14ac:dyDescent="0.25"/>
  <cols>
    <col min="1" max="1" width="24.42578125" style="27" customWidth="1"/>
    <col min="2" max="3" width="45.28515625" style="4" customWidth="1"/>
    <col min="4" max="4" width="13.7109375" style="24" customWidth="1"/>
    <col min="5" max="6" width="18.140625" style="27" customWidth="1"/>
    <col min="7" max="7" width="20.140625" style="8" customWidth="1"/>
    <col min="8" max="8" width="12.5703125" style="4" bestFit="1" customWidth="1"/>
    <col min="9" max="10" width="9.140625" style="4"/>
    <col min="11" max="11" width="26.28515625" style="4" customWidth="1"/>
    <col min="12" max="16384" width="9.140625" style="4"/>
  </cols>
  <sheetData>
    <row r="1" spans="1:11" ht="15" customHeight="1" x14ac:dyDescent="0.25">
      <c r="A1" s="4"/>
      <c r="C1" s="11"/>
      <c r="D1" s="11"/>
      <c r="E1" s="11"/>
      <c r="F1" s="96" t="s">
        <v>210</v>
      </c>
      <c r="G1" s="97"/>
    </row>
    <row r="2" spans="1:11" ht="15" customHeight="1" x14ac:dyDescent="0.25">
      <c r="A2" s="4"/>
      <c r="C2" s="89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за АВГУСТ 2024 года
</v>
      </c>
      <c r="D2" s="89"/>
      <c r="E2" s="89"/>
      <c r="F2" s="97"/>
      <c r="G2" s="97"/>
    </row>
    <row r="3" spans="1:11" ht="15" customHeight="1" x14ac:dyDescent="0.25">
      <c r="A3" s="4"/>
      <c r="C3" s="89"/>
      <c r="D3" s="89"/>
      <c r="E3" s="89"/>
      <c r="F3" s="97"/>
      <c r="G3" s="97"/>
    </row>
    <row r="4" spans="1:11" ht="15" customHeight="1" x14ac:dyDescent="0.25">
      <c r="A4" s="4"/>
      <c r="C4" s="89"/>
      <c r="D4" s="89"/>
      <c r="E4" s="89"/>
      <c r="F4" s="97"/>
      <c r="G4" s="97"/>
    </row>
    <row r="5" spans="1:11" ht="15" customHeight="1" x14ac:dyDescent="0.25">
      <c r="A5" s="4"/>
      <c r="C5" s="89"/>
      <c r="D5" s="89"/>
      <c r="E5" s="89"/>
      <c r="F5" s="97"/>
      <c r="G5" s="97"/>
      <c r="H5" s="42"/>
      <c r="I5" s="43"/>
    </row>
    <row r="6" spans="1:11" ht="15" customHeight="1" x14ac:dyDescent="0.25">
      <c r="A6" s="4"/>
      <c r="C6" s="89"/>
      <c r="D6" s="89"/>
      <c r="E6" s="89"/>
    </row>
    <row r="7" spans="1:11" ht="15" customHeight="1" x14ac:dyDescent="0.25">
      <c r="A7" s="4"/>
      <c r="C7" s="89"/>
      <c r="D7" s="89"/>
      <c r="E7" s="89"/>
    </row>
    <row r="8" spans="1:11" x14ac:dyDescent="0.25">
      <c r="A8" s="13">
        <f>'Приморский край'!A8</f>
        <v>45535</v>
      </c>
      <c r="C8" s="11"/>
      <c r="D8" s="11"/>
      <c r="E8" s="11"/>
      <c r="F8" s="11"/>
      <c r="J8" s="42"/>
    </row>
    <row r="9" spans="1:11" x14ac:dyDescent="0.25">
      <c r="C9" s="12"/>
      <c r="D9" s="23"/>
      <c r="E9" s="28">
        <f>SUM(E12:E166)*1000</f>
        <v>217507.56900000008</v>
      </c>
      <c r="F9" s="28">
        <f>SUM(F12:F166)*1000</f>
        <v>168739.05599999995</v>
      </c>
    </row>
    <row r="10" spans="1:11" ht="45" x14ac:dyDescent="0.25">
      <c r="A10" s="18" t="s">
        <v>3</v>
      </c>
      <c r="B10" s="5" t="s">
        <v>4</v>
      </c>
      <c r="C10" s="10" t="s">
        <v>5</v>
      </c>
      <c r="D10" s="10" t="s">
        <v>6</v>
      </c>
      <c r="E10" s="19" t="s">
        <v>0</v>
      </c>
      <c r="F10" s="18" t="s">
        <v>1</v>
      </c>
      <c r="G10" s="5" t="s">
        <v>2</v>
      </c>
    </row>
    <row r="11" spans="1:11" s="21" customFormat="1" x14ac:dyDescent="0.25">
      <c r="A11" s="5">
        <v>1</v>
      </c>
      <c r="B11" s="5">
        <v>2</v>
      </c>
      <c r="C11" s="10">
        <v>3</v>
      </c>
      <c r="D11" s="10" t="s">
        <v>15</v>
      </c>
      <c r="E11" s="10">
        <v>5</v>
      </c>
      <c r="F11" s="5">
        <v>6</v>
      </c>
      <c r="G11" s="5">
        <v>7</v>
      </c>
    </row>
    <row r="12" spans="1:11" ht="22.5" customHeight="1" x14ac:dyDescent="0.25">
      <c r="A12" s="83" t="s">
        <v>330</v>
      </c>
      <c r="B12" s="83" t="s">
        <v>146</v>
      </c>
      <c r="C12" s="83" t="s">
        <v>195</v>
      </c>
      <c r="D12" s="67" t="s">
        <v>12</v>
      </c>
      <c r="E12" s="60">
        <f>50000/1000</f>
        <v>50</v>
      </c>
      <c r="F12" s="60">
        <f>42774.893/1000</f>
        <v>42.774892999999999</v>
      </c>
      <c r="G12" s="84">
        <f>E12-F12</f>
        <v>7.2251070000000013</v>
      </c>
    </row>
    <row r="13" spans="1:11" ht="15" customHeight="1" x14ac:dyDescent="0.25">
      <c r="A13" s="83" t="s">
        <v>330</v>
      </c>
      <c r="B13" s="83" t="s">
        <v>236</v>
      </c>
      <c r="C13" s="83" t="s">
        <v>57</v>
      </c>
      <c r="D13" s="67" t="s">
        <v>15</v>
      </c>
      <c r="E13" s="60">
        <f>210/1000</f>
        <v>0.21</v>
      </c>
      <c r="F13" s="60">
        <f>161.873/1000</f>
        <v>0.16187299999999999</v>
      </c>
      <c r="G13" s="84">
        <f t="shared" ref="G13:G76" si="0">E13-F13</f>
        <v>4.8127000000000003E-2</v>
      </c>
    </row>
    <row r="14" spans="1:11" ht="15" customHeight="1" x14ac:dyDescent="0.25">
      <c r="A14" s="83" t="s">
        <v>330</v>
      </c>
      <c r="B14" s="83" t="s">
        <v>237</v>
      </c>
      <c r="C14" s="83" t="s">
        <v>58</v>
      </c>
      <c r="D14" s="67" t="s">
        <v>16</v>
      </c>
      <c r="E14" s="60">
        <f>40/1000</f>
        <v>0.04</v>
      </c>
      <c r="F14" s="60">
        <f>23.821/1000</f>
        <v>2.3821000000000002E-2</v>
      </c>
      <c r="G14" s="84">
        <f t="shared" si="0"/>
        <v>1.6178999999999999E-2</v>
      </c>
    </row>
    <row r="15" spans="1:11" ht="22.5" customHeight="1" x14ac:dyDescent="0.25">
      <c r="A15" s="83" t="s">
        <v>330</v>
      </c>
      <c r="B15" s="83" t="s">
        <v>238</v>
      </c>
      <c r="C15" s="83" t="s">
        <v>60</v>
      </c>
      <c r="D15" s="67" t="s">
        <v>15</v>
      </c>
      <c r="E15" s="60">
        <f>300/1000</f>
        <v>0.3</v>
      </c>
      <c r="F15" s="60">
        <f>139.865/1000</f>
        <v>0.13986500000000002</v>
      </c>
      <c r="G15" s="84">
        <f t="shared" si="0"/>
        <v>0.16013499999999997</v>
      </c>
      <c r="J15" s="20"/>
      <c r="K15" s="20"/>
    </row>
    <row r="16" spans="1:11" ht="22.5" customHeight="1" x14ac:dyDescent="0.25">
      <c r="A16" s="83" t="s">
        <v>330</v>
      </c>
      <c r="B16" s="83" t="s">
        <v>239</v>
      </c>
      <c r="C16" s="83" t="s">
        <v>61</v>
      </c>
      <c r="D16" s="67" t="s">
        <v>15</v>
      </c>
      <c r="E16" s="60">
        <f>10/1000</f>
        <v>0.01</v>
      </c>
      <c r="F16" s="60">
        <f>6.57/1000</f>
        <v>6.5700000000000003E-3</v>
      </c>
      <c r="G16" s="84">
        <f t="shared" si="0"/>
        <v>3.4299999999999999E-3</v>
      </c>
      <c r="J16" s="20"/>
      <c r="K16" s="20"/>
    </row>
    <row r="17" spans="1:11" ht="26.25" customHeight="1" x14ac:dyDescent="0.25">
      <c r="A17" s="83" t="s">
        <v>330</v>
      </c>
      <c r="B17" s="83" t="s">
        <v>240</v>
      </c>
      <c r="C17" s="83" t="s">
        <v>62</v>
      </c>
      <c r="D17" s="67" t="s">
        <v>13</v>
      </c>
      <c r="E17" s="60">
        <f>900/1000</f>
        <v>0.9</v>
      </c>
      <c r="F17" s="60">
        <f>880.184/1000</f>
        <v>0.88018399999999997</v>
      </c>
      <c r="G17" s="84">
        <f t="shared" si="0"/>
        <v>1.9816000000000056E-2</v>
      </c>
      <c r="J17" s="20"/>
      <c r="K17" s="20"/>
    </row>
    <row r="18" spans="1:11" ht="22.5" customHeight="1" x14ac:dyDescent="0.25">
      <c r="A18" s="83" t="s">
        <v>330</v>
      </c>
      <c r="B18" s="83" t="s">
        <v>241</v>
      </c>
      <c r="C18" s="83" t="s">
        <v>63</v>
      </c>
      <c r="D18" s="67" t="s">
        <v>15</v>
      </c>
      <c r="E18" s="60">
        <f>350/1000</f>
        <v>0.35</v>
      </c>
      <c r="F18" s="60">
        <f>237.945/1000</f>
        <v>0.23794499999999999</v>
      </c>
      <c r="G18" s="84">
        <f t="shared" si="0"/>
        <v>0.11205499999999999</v>
      </c>
    </row>
    <row r="19" spans="1:11" ht="22.5" customHeight="1" x14ac:dyDescent="0.25">
      <c r="A19" s="83" t="s">
        <v>330</v>
      </c>
      <c r="B19" s="83" t="s">
        <v>242</v>
      </c>
      <c r="C19" s="83" t="s">
        <v>64</v>
      </c>
      <c r="D19" s="67" t="s">
        <v>13</v>
      </c>
      <c r="E19" s="60">
        <f>276.5/1000</f>
        <v>0.27650000000000002</v>
      </c>
      <c r="F19" s="60">
        <f>286.439/1000</f>
        <v>0.286439</v>
      </c>
      <c r="G19" s="84">
        <f t="shared" si="0"/>
        <v>-9.9389999999999756E-3</v>
      </c>
    </row>
    <row r="20" spans="1:11" ht="22.5" customHeight="1" x14ac:dyDescent="0.25">
      <c r="A20" s="83" t="s">
        <v>330</v>
      </c>
      <c r="B20" s="83" t="s">
        <v>243</v>
      </c>
      <c r="C20" s="83" t="s">
        <v>65</v>
      </c>
      <c r="D20" s="67" t="s">
        <v>15</v>
      </c>
      <c r="E20" s="60">
        <f>40/1000</f>
        <v>0.04</v>
      </c>
      <c r="F20" s="60">
        <f>47.145/1000</f>
        <v>4.7145000000000006E-2</v>
      </c>
      <c r="G20" s="84">
        <f t="shared" si="0"/>
        <v>-7.1450000000000055E-3</v>
      </c>
    </row>
    <row r="21" spans="1:11" ht="22.5" customHeight="1" x14ac:dyDescent="0.25">
      <c r="A21" s="83" t="s">
        <v>330</v>
      </c>
      <c r="B21" s="83" t="s">
        <v>244</v>
      </c>
      <c r="C21" s="83" t="s">
        <v>66</v>
      </c>
      <c r="D21" s="67" t="s">
        <v>16</v>
      </c>
      <c r="E21" s="60">
        <f>17/1000</f>
        <v>1.7000000000000001E-2</v>
      </c>
      <c r="F21" s="60">
        <f>15.112/1000</f>
        <v>1.5112E-2</v>
      </c>
      <c r="G21" s="84">
        <f t="shared" si="0"/>
        <v>1.8880000000000008E-3</v>
      </c>
    </row>
    <row r="22" spans="1:11" ht="22.5" customHeight="1" x14ac:dyDescent="0.25">
      <c r="A22" s="83" t="s">
        <v>330</v>
      </c>
      <c r="B22" s="83" t="s">
        <v>245</v>
      </c>
      <c r="C22" s="83" t="s">
        <v>67</v>
      </c>
      <c r="D22" s="67" t="s">
        <v>56</v>
      </c>
      <c r="E22" s="60">
        <f>0.5/1000</f>
        <v>5.0000000000000001E-4</v>
      </c>
      <c r="F22" s="60">
        <f>0.457/1000</f>
        <v>4.57E-4</v>
      </c>
      <c r="G22" s="84">
        <f t="shared" si="0"/>
        <v>4.3000000000000015E-5</v>
      </c>
    </row>
    <row r="23" spans="1:11" ht="15" customHeight="1" x14ac:dyDescent="0.25">
      <c r="A23" s="83" t="s">
        <v>330</v>
      </c>
      <c r="B23" s="83" t="s">
        <v>315</v>
      </c>
      <c r="C23" s="83" t="s">
        <v>28</v>
      </c>
      <c r="D23" s="67" t="s">
        <v>17</v>
      </c>
      <c r="E23" s="60">
        <f>145.5/1000</f>
        <v>0.14549999999999999</v>
      </c>
      <c r="F23" s="60">
        <f>145.5/1000</f>
        <v>0.14549999999999999</v>
      </c>
      <c r="G23" s="84">
        <f t="shared" si="0"/>
        <v>0</v>
      </c>
    </row>
    <row r="24" spans="1:11" ht="22.5" customHeight="1" x14ac:dyDescent="0.25">
      <c r="A24" s="83" t="s">
        <v>330</v>
      </c>
      <c r="B24" s="83" t="s">
        <v>246</v>
      </c>
      <c r="C24" s="83" t="s">
        <v>59</v>
      </c>
      <c r="D24" s="67" t="s">
        <v>15</v>
      </c>
      <c r="E24" s="60">
        <f>5.7/1000</f>
        <v>5.7000000000000002E-3</v>
      </c>
      <c r="F24" s="60">
        <f>0.008/1000</f>
        <v>7.9999999999999996E-6</v>
      </c>
      <c r="G24" s="84">
        <f t="shared" si="0"/>
        <v>5.692E-3</v>
      </c>
    </row>
    <row r="25" spans="1:11" ht="22.5" customHeight="1" x14ac:dyDescent="0.25">
      <c r="A25" s="83" t="s">
        <v>330</v>
      </c>
      <c r="B25" s="83" t="s">
        <v>423</v>
      </c>
      <c r="C25" s="83" t="s">
        <v>410</v>
      </c>
      <c r="D25" s="67" t="s">
        <v>16</v>
      </c>
      <c r="E25" s="60">
        <f>0/1000</f>
        <v>0</v>
      </c>
      <c r="F25" s="60">
        <f>0.937/1000</f>
        <v>9.3700000000000001E-4</v>
      </c>
      <c r="G25" s="84">
        <f t="shared" si="0"/>
        <v>-9.3700000000000001E-4</v>
      </c>
    </row>
    <row r="26" spans="1:11" x14ac:dyDescent="0.25">
      <c r="A26" s="83" t="s">
        <v>330</v>
      </c>
      <c r="B26" s="83" t="s">
        <v>424</v>
      </c>
      <c r="C26" s="83" t="s">
        <v>411</v>
      </c>
      <c r="D26" s="67" t="s">
        <v>16</v>
      </c>
      <c r="E26" s="60">
        <f>0/1000</f>
        <v>0</v>
      </c>
      <c r="F26" s="60">
        <f>1.672/1000</f>
        <v>1.6719999999999999E-3</v>
      </c>
      <c r="G26" s="84">
        <f t="shared" si="0"/>
        <v>-1.6719999999999999E-3</v>
      </c>
    </row>
    <row r="27" spans="1:11" ht="22.5" x14ac:dyDescent="0.25">
      <c r="A27" s="83" t="s">
        <v>331</v>
      </c>
      <c r="B27" s="83" t="s">
        <v>425</v>
      </c>
      <c r="C27" s="83" t="s">
        <v>195</v>
      </c>
      <c r="D27" s="67" t="s">
        <v>14</v>
      </c>
      <c r="E27" s="60">
        <f>2500/1000</f>
        <v>2.5</v>
      </c>
      <c r="F27" s="60">
        <f>382.15/1000</f>
        <v>0.38214999999999999</v>
      </c>
      <c r="G27" s="84">
        <f t="shared" si="0"/>
        <v>2.1178499999999998</v>
      </c>
    </row>
    <row r="28" spans="1:11" ht="22.5" x14ac:dyDescent="0.25">
      <c r="A28" s="83" t="s">
        <v>331</v>
      </c>
      <c r="B28" s="83" t="s">
        <v>149</v>
      </c>
      <c r="C28" s="83" t="s">
        <v>195</v>
      </c>
      <c r="D28" s="67" t="s">
        <v>12</v>
      </c>
      <c r="E28" s="60">
        <f>34000/1000</f>
        <v>34</v>
      </c>
      <c r="F28" s="60">
        <f>24048.948/1000</f>
        <v>24.048947999999999</v>
      </c>
      <c r="G28" s="84">
        <f t="shared" si="0"/>
        <v>9.9510520000000007</v>
      </c>
    </row>
    <row r="29" spans="1:11" ht="22.5" x14ac:dyDescent="0.25">
      <c r="A29" s="83" t="s">
        <v>331</v>
      </c>
      <c r="B29" s="83" t="s">
        <v>150</v>
      </c>
      <c r="C29" s="83" t="s">
        <v>195</v>
      </c>
      <c r="D29" s="67" t="s">
        <v>15</v>
      </c>
      <c r="E29" s="60">
        <f>300/1000</f>
        <v>0.3</v>
      </c>
      <c r="F29" s="60">
        <f>76.941/1000</f>
        <v>7.6941000000000009E-2</v>
      </c>
      <c r="G29" s="84">
        <f t="shared" si="0"/>
        <v>0.22305899999999998</v>
      </c>
    </row>
    <row r="30" spans="1:11" x14ac:dyDescent="0.25">
      <c r="A30" s="83" t="s">
        <v>331</v>
      </c>
      <c r="B30" s="83" t="s">
        <v>247</v>
      </c>
      <c r="C30" s="83" t="s">
        <v>68</v>
      </c>
      <c r="D30" s="67" t="s">
        <v>15</v>
      </c>
      <c r="E30" s="60">
        <f>2.2/1000</f>
        <v>2.2000000000000001E-3</v>
      </c>
      <c r="F30" s="60">
        <f>1.218/1000</f>
        <v>1.2179999999999999E-3</v>
      </c>
      <c r="G30" s="84">
        <f t="shared" si="0"/>
        <v>9.8200000000000023E-4</v>
      </c>
    </row>
    <row r="31" spans="1:11" ht="33.75" x14ac:dyDescent="0.25">
      <c r="A31" s="83" t="s">
        <v>331</v>
      </c>
      <c r="B31" s="83" t="s">
        <v>248</v>
      </c>
      <c r="C31" s="83" t="s">
        <v>412</v>
      </c>
      <c r="D31" s="67" t="s">
        <v>16</v>
      </c>
      <c r="E31" s="60">
        <f>15/1000</f>
        <v>1.4999999999999999E-2</v>
      </c>
      <c r="F31" s="60">
        <f>10.085/1000</f>
        <v>1.0085E-2</v>
      </c>
      <c r="G31" s="84">
        <f t="shared" si="0"/>
        <v>4.9149999999999992E-3</v>
      </c>
    </row>
    <row r="32" spans="1:11" x14ac:dyDescent="0.25">
      <c r="A32" s="83" t="s">
        <v>331</v>
      </c>
      <c r="B32" s="83" t="s">
        <v>151</v>
      </c>
      <c r="C32" s="83" t="s">
        <v>69</v>
      </c>
      <c r="D32" s="67" t="s">
        <v>16</v>
      </c>
      <c r="E32" s="60">
        <f>20.1/1000</f>
        <v>2.01E-2</v>
      </c>
      <c r="F32" s="60">
        <f>16.04/1000</f>
        <v>1.6039999999999999E-2</v>
      </c>
      <c r="G32" s="84">
        <f t="shared" si="0"/>
        <v>4.0600000000000011E-3</v>
      </c>
    </row>
    <row r="33" spans="1:7" x14ac:dyDescent="0.25">
      <c r="A33" s="83" t="s">
        <v>331</v>
      </c>
      <c r="B33" s="83" t="s">
        <v>249</v>
      </c>
      <c r="C33" s="83" t="s">
        <v>70</v>
      </c>
      <c r="D33" s="67" t="s">
        <v>14</v>
      </c>
      <c r="E33" s="60">
        <f>9246/1000</f>
        <v>9.2460000000000004</v>
      </c>
      <c r="F33" s="60">
        <f>6982.092/1000</f>
        <v>6.9820919999999997</v>
      </c>
      <c r="G33" s="84">
        <f t="shared" si="0"/>
        <v>2.2639080000000007</v>
      </c>
    </row>
    <row r="34" spans="1:7" ht="22.5" x14ac:dyDescent="0.25">
      <c r="A34" s="83" t="s">
        <v>331</v>
      </c>
      <c r="B34" s="83" t="s">
        <v>250</v>
      </c>
      <c r="C34" s="83" t="s">
        <v>71</v>
      </c>
      <c r="D34" s="67" t="s">
        <v>16</v>
      </c>
      <c r="E34" s="60">
        <f>13/1000</f>
        <v>1.2999999999999999E-2</v>
      </c>
      <c r="F34" s="60">
        <f>15.875/1000</f>
        <v>1.5875E-2</v>
      </c>
      <c r="G34" s="84">
        <f t="shared" si="0"/>
        <v>-2.8750000000000008E-3</v>
      </c>
    </row>
    <row r="35" spans="1:7" x14ac:dyDescent="0.25">
      <c r="A35" s="83" t="s">
        <v>331</v>
      </c>
      <c r="B35" s="83" t="s">
        <v>251</v>
      </c>
      <c r="C35" s="83" t="s">
        <v>72</v>
      </c>
      <c r="D35" s="67" t="s">
        <v>16</v>
      </c>
      <c r="E35" s="60">
        <f>10/1000</f>
        <v>0.01</v>
      </c>
      <c r="F35" s="60">
        <f>12.373/1000</f>
        <v>1.2372999999999999E-2</v>
      </c>
      <c r="G35" s="84">
        <f t="shared" si="0"/>
        <v>-2.3729999999999984E-3</v>
      </c>
    </row>
    <row r="36" spans="1:7" x14ac:dyDescent="0.25">
      <c r="A36" s="83" t="s">
        <v>331</v>
      </c>
      <c r="B36" s="83" t="s">
        <v>252</v>
      </c>
      <c r="C36" s="83" t="s">
        <v>73</v>
      </c>
      <c r="D36" s="67" t="s">
        <v>15</v>
      </c>
      <c r="E36" s="60">
        <f>900/1000</f>
        <v>0.9</v>
      </c>
      <c r="F36" s="60">
        <f>701.349/1000</f>
        <v>0.701349</v>
      </c>
      <c r="G36" s="84">
        <f t="shared" si="0"/>
        <v>0.19865100000000002</v>
      </c>
    </row>
    <row r="37" spans="1:7" x14ac:dyDescent="0.25">
      <c r="A37" s="83" t="s">
        <v>331</v>
      </c>
      <c r="B37" s="83" t="s">
        <v>253</v>
      </c>
      <c r="C37" s="83" t="s">
        <v>73</v>
      </c>
      <c r="D37" s="67" t="s">
        <v>15</v>
      </c>
      <c r="E37" s="60">
        <f>350/1000</f>
        <v>0.35</v>
      </c>
      <c r="F37" s="60">
        <f>318.287/1000</f>
        <v>0.31828699999999999</v>
      </c>
      <c r="G37" s="84">
        <f t="shared" si="0"/>
        <v>3.1712999999999991E-2</v>
      </c>
    </row>
    <row r="38" spans="1:7" ht="22.5" x14ac:dyDescent="0.25">
      <c r="A38" s="83" t="s">
        <v>331</v>
      </c>
      <c r="B38" s="83" t="s">
        <v>254</v>
      </c>
      <c r="C38" s="83" t="s">
        <v>74</v>
      </c>
      <c r="D38" s="67" t="s">
        <v>15</v>
      </c>
      <c r="E38" s="60">
        <f>177.953/1000</f>
        <v>0.177953</v>
      </c>
      <c r="F38" s="60">
        <f>134.523/1000</f>
        <v>0.134523</v>
      </c>
      <c r="G38" s="84">
        <f t="shared" si="0"/>
        <v>4.3429999999999996E-2</v>
      </c>
    </row>
    <row r="39" spans="1:7" ht="22.5" x14ac:dyDescent="0.25">
      <c r="A39" s="83" t="s">
        <v>331</v>
      </c>
      <c r="B39" s="83" t="s">
        <v>255</v>
      </c>
      <c r="C39" s="83" t="s">
        <v>75</v>
      </c>
      <c r="D39" s="67" t="s">
        <v>16</v>
      </c>
      <c r="E39" s="60">
        <f>5/1000</f>
        <v>5.0000000000000001E-3</v>
      </c>
      <c r="F39" s="60">
        <f>3.385/1000</f>
        <v>3.385E-3</v>
      </c>
      <c r="G39" s="84">
        <f t="shared" si="0"/>
        <v>1.6150000000000001E-3</v>
      </c>
    </row>
    <row r="40" spans="1:7" x14ac:dyDescent="0.25">
      <c r="A40" s="83" t="s">
        <v>331</v>
      </c>
      <c r="B40" s="83" t="s">
        <v>256</v>
      </c>
      <c r="C40" s="83" t="s">
        <v>76</v>
      </c>
      <c r="D40" s="67" t="s">
        <v>15</v>
      </c>
      <c r="E40" s="60">
        <f>47.9/1000</f>
        <v>4.7899999999999998E-2</v>
      </c>
      <c r="F40" s="60">
        <f>85.985/1000</f>
        <v>8.5985000000000006E-2</v>
      </c>
      <c r="G40" s="84">
        <f t="shared" si="0"/>
        <v>-3.8085000000000008E-2</v>
      </c>
    </row>
    <row r="41" spans="1:7" x14ac:dyDescent="0.25">
      <c r="A41" s="83" t="s">
        <v>331</v>
      </c>
      <c r="B41" s="83" t="s">
        <v>342</v>
      </c>
      <c r="C41" s="83" t="s">
        <v>339</v>
      </c>
      <c r="D41" s="67" t="s">
        <v>346</v>
      </c>
      <c r="E41" s="60">
        <f>0/1000</f>
        <v>0</v>
      </c>
      <c r="F41" s="60">
        <f>0/1000</f>
        <v>0</v>
      </c>
      <c r="G41" s="84">
        <f t="shared" si="0"/>
        <v>0</v>
      </c>
    </row>
    <row r="42" spans="1:7" x14ac:dyDescent="0.25">
      <c r="A42" s="83" t="s">
        <v>331</v>
      </c>
      <c r="B42" s="83" t="s">
        <v>257</v>
      </c>
      <c r="C42" s="83" t="s">
        <v>77</v>
      </c>
      <c r="D42" s="67" t="s">
        <v>17</v>
      </c>
      <c r="E42" s="60">
        <f>6/1000</f>
        <v>6.0000000000000001E-3</v>
      </c>
      <c r="F42" s="60">
        <f>5.802/1000</f>
        <v>5.8019999999999999E-3</v>
      </c>
      <c r="G42" s="84">
        <f t="shared" si="0"/>
        <v>1.9800000000000026E-4</v>
      </c>
    </row>
    <row r="43" spans="1:7" x14ac:dyDescent="0.25">
      <c r="A43" s="83" t="s">
        <v>331</v>
      </c>
      <c r="B43" s="83" t="s">
        <v>258</v>
      </c>
      <c r="C43" s="83" t="s">
        <v>78</v>
      </c>
      <c r="D43" s="67" t="s">
        <v>17</v>
      </c>
      <c r="E43" s="60">
        <f>2.896/1000</f>
        <v>2.8959999999999997E-3</v>
      </c>
      <c r="F43" s="60">
        <f>2.736/1000</f>
        <v>2.7360000000000002E-3</v>
      </c>
      <c r="G43" s="84">
        <f t="shared" si="0"/>
        <v>1.5999999999999955E-4</v>
      </c>
    </row>
    <row r="44" spans="1:7" x14ac:dyDescent="0.25">
      <c r="A44" s="83" t="s">
        <v>331</v>
      </c>
      <c r="B44" s="83" t="s">
        <v>259</v>
      </c>
      <c r="C44" s="83" t="s">
        <v>78</v>
      </c>
      <c r="D44" s="67" t="s">
        <v>17</v>
      </c>
      <c r="E44" s="60">
        <f>5.236/1000</f>
        <v>5.2359999999999993E-3</v>
      </c>
      <c r="F44" s="60">
        <f>5.324/1000</f>
        <v>5.3239999999999997E-3</v>
      </c>
      <c r="G44" s="84">
        <f t="shared" si="0"/>
        <v>-8.8000000000000404E-5</v>
      </c>
    </row>
    <row r="45" spans="1:7" x14ac:dyDescent="0.25">
      <c r="A45" s="83" t="s">
        <v>331</v>
      </c>
      <c r="B45" s="83" t="s">
        <v>260</v>
      </c>
      <c r="C45" s="83" t="s">
        <v>79</v>
      </c>
      <c r="D45" s="67" t="s">
        <v>17</v>
      </c>
      <c r="E45" s="60">
        <f>6/1000</f>
        <v>6.0000000000000001E-3</v>
      </c>
      <c r="F45" s="60">
        <f>7.129/1000</f>
        <v>7.1289999999999999E-3</v>
      </c>
      <c r="G45" s="84">
        <f t="shared" si="0"/>
        <v>-1.1289999999999998E-3</v>
      </c>
    </row>
    <row r="46" spans="1:7" x14ac:dyDescent="0.25">
      <c r="A46" s="83" t="s">
        <v>331</v>
      </c>
      <c r="B46" s="83" t="s">
        <v>261</v>
      </c>
      <c r="C46" s="83" t="s">
        <v>80</v>
      </c>
      <c r="D46" s="67" t="s">
        <v>17</v>
      </c>
      <c r="E46" s="60">
        <f>1.167/1000</f>
        <v>1.1670000000000001E-3</v>
      </c>
      <c r="F46" s="60">
        <f>0.758/1000</f>
        <v>7.5799999999999999E-4</v>
      </c>
      <c r="G46" s="84">
        <f t="shared" si="0"/>
        <v>4.0900000000000008E-4</v>
      </c>
    </row>
    <row r="47" spans="1:7" x14ac:dyDescent="0.25">
      <c r="A47" s="83" t="s">
        <v>331</v>
      </c>
      <c r="B47" s="83" t="s">
        <v>262</v>
      </c>
      <c r="C47" s="83" t="s">
        <v>81</v>
      </c>
      <c r="D47" s="67" t="s">
        <v>17</v>
      </c>
      <c r="E47" s="60">
        <f>3.5/1000</f>
        <v>3.5000000000000001E-3</v>
      </c>
      <c r="F47" s="60">
        <f>4.159/1000</f>
        <v>4.1589999999999995E-3</v>
      </c>
      <c r="G47" s="84">
        <f t="shared" si="0"/>
        <v>-6.5899999999999943E-4</v>
      </c>
    </row>
    <row r="48" spans="1:7" x14ac:dyDescent="0.25">
      <c r="A48" s="83" t="s">
        <v>331</v>
      </c>
      <c r="B48" s="83" t="s">
        <v>263</v>
      </c>
      <c r="C48" s="83" t="s">
        <v>82</v>
      </c>
      <c r="D48" s="67" t="s">
        <v>17</v>
      </c>
      <c r="E48" s="60">
        <f>1.5/1000</f>
        <v>1.5E-3</v>
      </c>
      <c r="F48" s="60">
        <f>1.886/1000</f>
        <v>1.8859999999999999E-3</v>
      </c>
      <c r="G48" s="84">
        <f t="shared" si="0"/>
        <v>-3.8599999999999984E-4</v>
      </c>
    </row>
    <row r="49" spans="1:7" x14ac:dyDescent="0.25">
      <c r="A49" s="83" t="s">
        <v>331</v>
      </c>
      <c r="B49" s="83" t="s">
        <v>264</v>
      </c>
      <c r="C49" s="83" t="s">
        <v>82</v>
      </c>
      <c r="D49" s="67" t="s">
        <v>17</v>
      </c>
      <c r="E49" s="60">
        <f>1.4/1000</f>
        <v>1.4E-3</v>
      </c>
      <c r="F49" s="60">
        <f>1.672/1000</f>
        <v>1.6719999999999999E-3</v>
      </c>
      <c r="G49" s="84">
        <f t="shared" si="0"/>
        <v>-2.7199999999999989E-4</v>
      </c>
    </row>
    <row r="50" spans="1:7" x14ac:dyDescent="0.25">
      <c r="A50" s="83" t="s">
        <v>331</v>
      </c>
      <c r="B50" s="83" t="s">
        <v>265</v>
      </c>
      <c r="C50" s="83" t="s">
        <v>82</v>
      </c>
      <c r="D50" s="67" t="s">
        <v>17</v>
      </c>
      <c r="E50" s="60">
        <f>5.6/1000</f>
        <v>5.5999999999999999E-3</v>
      </c>
      <c r="F50" s="60">
        <f>4.694/1000</f>
        <v>4.6940000000000003E-3</v>
      </c>
      <c r="G50" s="84">
        <f t="shared" si="0"/>
        <v>9.0599999999999969E-4</v>
      </c>
    </row>
    <row r="51" spans="1:7" x14ac:dyDescent="0.25">
      <c r="A51" s="83" t="s">
        <v>331</v>
      </c>
      <c r="B51" s="83" t="s">
        <v>266</v>
      </c>
      <c r="C51" s="83" t="s">
        <v>81</v>
      </c>
      <c r="D51" s="67" t="s">
        <v>17</v>
      </c>
      <c r="E51" s="60">
        <f>1.8/1000</f>
        <v>1.8E-3</v>
      </c>
      <c r="F51" s="60">
        <f>1.855/1000</f>
        <v>1.8549999999999999E-3</v>
      </c>
      <c r="G51" s="84">
        <f t="shared" si="0"/>
        <v>-5.4999999999999927E-5</v>
      </c>
    </row>
    <row r="52" spans="1:7" x14ac:dyDescent="0.25">
      <c r="A52" s="83" t="s">
        <v>331</v>
      </c>
      <c r="B52" s="83" t="s">
        <v>267</v>
      </c>
      <c r="C52" s="83" t="s">
        <v>81</v>
      </c>
      <c r="D52" s="67" t="s">
        <v>17</v>
      </c>
      <c r="E52" s="60">
        <f>3.5/1000</f>
        <v>3.5000000000000001E-3</v>
      </c>
      <c r="F52" s="60">
        <f>2.432/1000</f>
        <v>2.4320000000000001E-3</v>
      </c>
      <c r="G52" s="84">
        <f t="shared" si="0"/>
        <v>1.0679999999999999E-3</v>
      </c>
    </row>
    <row r="53" spans="1:7" x14ac:dyDescent="0.25">
      <c r="A53" s="83" t="s">
        <v>331</v>
      </c>
      <c r="B53" s="83" t="s">
        <v>152</v>
      </c>
      <c r="C53" s="83" t="s">
        <v>413</v>
      </c>
      <c r="D53" s="67" t="s">
        <v>17</v>
      </c>
      <c r="E53" s="60">
        <f>2.88/1000</f>
        <v>2.8799999999999997E-3</v>
      </c>
      <c r="F53" s="60">
        <f>3.673/1000</f>
        <v>3.673E-3</v>
      </c>
      <c r="G53" s="84">
        <f t="shared" si="0"/>
        <v>-7.930000000000003E-4</v>
      </c>
    </row>
    <row r="54" spans="1:7" x14ac:dyDescent="0.25">
      <c r="A54" s="83" t="s">
        <v>331</v>
      </c>
      <c r="B54" s="83" t="s">
        <v>268</v>
      </c>
      <c r="C54" s="83" t="s">
        <v>81</v>
      </c>
      <c r="D54" s="67" t="s">
        <v>17</v>
      </c>
      <c r="E54" s="60">
        <f>3/1000</f>
        <v>3.0000000000000001E-3</v>
      </c>
      <c r="F54" s="60">
        <f>4.314/1000</f>
        <v>4.3140000000000001E-3</v>
      </c>
      <c r="G54" s="84">
        <f t="shared" si="0"/>
        <v>-1.3140000000000001E-3</v>
      </c>
    </row>
    <row r="55" spans="1:7" x14ac:dyDescent="0.25">
      <c r="A55" s="83" t="s">
        <v>331</v>
      </c>
      <c r="B55" s="83" t="s">
        <v>269</v>
      </c>
      <c r="C55" s="83" t="s">
        <v>79</v>
      </c>
      <c r="D55" s="67" t="s">
        <v>17</v>
      </c>
      <c r="E55" s="60">
        <f>4.8/1000</f>
        <v>4.7999999999999996E-3</v>
      </c>
      <c r="F55" s="60">
        <f>3.192/1000</f>
        <v>3.192E-3</v>
      </c>
      <c r="G55" s="84">
        <f t="shared" si="0"/>
        <v>1.6079999999999996E-3</v>
      </c>
    </row>
    <row r="56" spans="1:7" x14ac:dyDescent="0.25">
      <c r="A56" s="83" t="s">
        <v>331</v>
      </c>
      <c r="B56" s="83" t="s">
        <v>426</v>
      </c>
      <c r="C56" s="83" t="s">
        <v>83</v>
      </c>
      <c r="D56" s="67" t="s">
        <v>15</v>
      </c>
      <c r="E56" s="60">
        <f>90/1000</f>
        <v>0.09</v>
      </c>
      <c r="F56" s="60">
        <f>86.825/1000</f>
        <v>8.6824999999999999E-2</v>
      </c>
      <c r="G56" s="84">
        <f t="shared" si="0"/>
        <v>3.1749999999999973E-3</v>
      </c>
    </row>
    <row r="57" spans="1:7" x14ac:dyDescent="0.25">
      <c r="A57" s="83" t="s">
        <v>331</v>
      </c>
      <c r="B57" s="83" t="s">
        <v>154</v>
      </c>
      <c r="C57" s="83" t="s">
        <v>84</v>
      </c>
      <c r="D57" s="67" t="s">
        <v>17</v>
      </c>
      <c r="E57" s="60">
        <f>2.1/1000</f>
        <v>2.1000000000000003E-3</v>
      </c>
      <c r="F57" s="60">
        <f>2.518/1000</f>
        <v>2.5179999999999998E-3</v>
      </c>
      <c r="G57" s="84">
        <f t="shared" si="0"/>
        <v>-4.1799999999999954E-4</v>
      </c>
    </row>
    <row r="58" spans="1:7" x14ac:dyDescent="0.25">
      <c r="A58" s="83" t="s">
        <v>331</v>
      </c>
      <c r="B58" s="83" t="s">
        <v>155</v>
      </c>
      <c r="C58" s="83" t="s">
        <v>84</v>
      </c>
      <c r="D58" s="67" t="s">
        <v>17</v>
      </c>
      <c r="E58" s="60">
        <f>2.1/1000</f>
        <v>2.1000000000000003E-3</v>
      </c>
      <c r="F58" s="60">
        <f>2.529/1000</f>
        <v>2.529E-3</v>
      </c>
      <c r="G58" s="84">
        <f t="shared" si="0"/>
        <v>-4.2899999999999969E-4</v>
      </c>
    </row>
    <row r="59" spans="1:7" x14ac:dyDescent="0.25">
      <c r="A59" s="83" t="s">
        <v>331</v>
      </c>
      <c r="B59" s="83" t="s">
        <v>270</v>
      </c>
      <c r="C59" s="83" t="s">
        <v>84</v>
      </c>
      <c r="D59" s="67" t="s">
        <v>17</v>
      </c>
      <c r="E59" s="60">
        <f>2/1000</f>
        <v>2E-3</v>
      </c>
      <c r="F59" s="60">
        <f>2.465/1000</f>
        <v>2.4649999999999997E-3</v>
      </c>
      <c r="G59" s="84">
        <f t="shared" si="0"/>
        <v>-4.649999999999997E-4</v>
      </c>
    </row>
    <row r="60" spans="1:7" x14ac:dyDescent="0.25">
      <c r="A60" s="83" t="s">
        <v>331</v>
      </c>
      <c r="B60" s="83" t="s">
        <v>156</v>
      </c>
      <c r="C60" s="83" t="s">
        <v>227</v>
      </c>
      <c r="D60" s="67" t="s">
        <v>17</v>
      </c>
      <c r="E60" s="60">
        <f>2.5/1000</f>
        <v>2.5000000000000001E-3</v>
      </c>
      <c r="F60" s="60">
        <f>1.664/1000</f>
        <v>1.6639999999999999E-3</v>
      </c>
      <c r="G60" s="84">
        <f t="shared" si="0"/>
        <v>8.3600000000000015E-4</v>
      </c>
    </row>
    <row r="61" spans="1:7" x14ac:dyDescent="0.25">
      <c r="A61" s="83" t="s">
        <v>331</v>
      </c>
      <c r="B61" s="83" t="s">
        <v>271</v>
      </c>
      <c r="C61" s="83" t="s">
        <v>81</v>
      </c>
      <c r="D61" s="67" t="s">
        <v>17</v>
      </c>
      <c r="E61" s="60">
        <f>3.5/1000</f>
        <v>3.5000000000000001E-3</v>
      </c>
      <c r="F61" s="60">
        <f>2.529/1000</f>
        <v>2.529E-3</v>
      </c>
      <c r="G61" s="84">
        <f t="shared" si="0"/>
        <v>9.7100000000000007E-4</v>
      </c>
    </row>
    <row r="62" spans="1:7" x14ac:dyDescent="0.25">
      <c r="A62" s="83" t="s">
        <v>331</v>
      </c>
      <c r="B62" s="83" t="s">
        <v>272</v>
      </c>
      <c r="C62" s="83" t="s">
        <v>82</v>
      </c>
      <c r="D62" s="67" t="s">
        <v>17</v>
      </c>
      <c r="E62" s="60">
        <f>1.4/1000</f>
        <v>1.4E-3</v>
      </c>
      <c r="F62" s="60">
        <f>3.658/1000</f>
        <v>3.6579999999999998E-3</v>
      </c>
      <c r="G62" s="84">
        <f t="shared" si="0"/>
        <v>-2.2579999999999996E-3</v>
      </c>
    </row>
    <row r="63" spans="1:7" x14ac:dyDescent="0.25">
      <c r="A63" s="83" t="s">
        <v>331</v>
      </c>
      <c r="B63" s="83" t="s">
        <v>273</v>
      </c>
      <c r="C63" s="83" t="s">
        <v>194</v>
      </c>
      <c r="D63" s="67" t="s">
        <v>15</v>
      </c>
      <c r="E63" s="60">
        <f>330/1000</f>
        <v>0.33</v>
      </c>
      <c r="F63" s="60">
        <f>187.948/1000</f>
        <v>0.187948</v>
      </c>
      <c r="G63" s="84">
        <f t="shared" si="0"/>
        <v>0.14205200000000001</v>
      </c>
    </row>
    <row r="64" spans="1:7" ht="22.5" x14ac:dyDescent="0.25">
      <c r="A64" s="83" t="s">
        <v>331</v>
      </c>
      <c r="B64" s="83" t="s">
        <v>222</v>
      </c>
      <c r="C64" s="83" t="s">
        <v>326</v>
      </c>
      <c r="D64" s="67" t="s">
        <v>17</v>
      </c>
      <c r="E64" s="60">
        <f>163.09/1000</f>
        <v>0.16309000000000001</v>
      </c>
      <c r="F64" s="60">
        <f>7.947/1000</f>
        <v>7.9469999999999992E-3</v>
      </c>
      <c r="G64" s="84">
        <f t="shared" si="0"/>
        <v>0.155143</v>
      </c>
    </row>
    <row r="65" spans="1:7" ht="22.5" x14ac:dyDescent="0.25">
      <c r="A65" s="83" t="s">
        <v>331</v>
      </c>
      <c r="B65" s="83" t="s">
        <v>274</v>
      </c>
      <c r="C65" s="83" t="s">
        <v>300</v>
      </c>
      <c r="D65" s="67" t="s">
        <v>15</v>
      </c>
      <c r="E65" s="60">
        <f>50/1000</f>
        <v>0.05</v>
      </c>
      <c r="F65" s="60">
        <f>18.526/1000</f>
        <v>1.8526000000000001E-2</v>
      </c>
      <c r="G65" s="84">
        <f t="shared" si="0"/>
        <v>3.1474000000000002E-2</v>
      </c>
    </row>
    <row r="66" spans="1:7" ht="56.25" x14ac:dyDescent="0.25">
      <c r="A66" s="83" t="s">
        <v>331</v>
      </c>
      <c r="B66" s="83" t="s">
        <v>427</v>
      </c>
      <c r="C66" s="83" t="s">
        <v>414</v>
      </c>
      <c r="D66" s="67" t="s">
        <v>15</v>
      </c>
      <c r="E66" s="60">
        <f>600/1000</f>
        <v>0.6</v>
      </c>
      <c r="F66" s="60">
        <f>138.886/1000</f>
        <v>0.13888600000000001</v>
      </c>
      <c r="G66" s="84">
        <f t="shared" si="0"/>
        <v>0.46111399999999997</v>
      </c>
    </row>
    <row r="67" spans="1:7" x14ac:dyDescent="0.25">
      <c r="A67" s="83" t="s">
        <v>331</v>
      </c>
      <c r="B67" s="83" t="s">
        <v>316</v>
      </c>
      <c r="C67" s="83" t="s">
        <v>28</v>
      </c>
      <c r="D67" s="67" t="s">
        <v>17</v>
      </c>
      <c r="E67" s="60">
        <f>32.99/1000</f>
        <v>3.2990000000000005E-2</v>
      </c>
      <c r="F67" s="60">
        <f>32.99/1000</f>
        <v>3.2990000000000005E-2</v>
      </c>
      <c r="G67" s="84">
        <f t="shared" si="0"/>
        <v>0</v>
      </c>
    </row>
    <row r="68" spans="1:7" ht="22.5" x14ac:dyDescent="0.25">
      <c r="A68" s="83" t="s">
        <v>331</v>
      </c>
      <c r="B68" s="83" t="s">
        <v>157</v>
      </c>
      <c r="C68" s="83" t="s">
        <v>137</v>
      </c>
      <c r="D68" s="67" t="s">
        <v>15</v>
      </c>
      <c r="E68" s="60">
        <f>178/1000</f>
        <v>0.17799999999999999</v>
      </c>
      <c r="F68" s="60">
        <f>149.732/1000</f>
        <v>0.149732</v>
      </c>
      <c r="G68" s="84">
        <f t="shared" si="0"/>
        <v>2.8267999999999988E-2</v>
      </c>
    </row>
    <row r="69" spans="1:7" ht="22.5" x14ac:dyDescent="0.25">
      <c r="A69" s="83" t="s">
        <v>333</v>
      </c>
      <c r="B69" s="83" t="s">
        <v>158</v>
      </c>
      <c r="C69" s="83" t="s">
        <v>195</v>
      </c>
      <c r="D69" s="67" t="s">
        <v>13</v>
      </c>
      <c r="E69" s="60">
        <f>500/1000</f>
        <v>0.5</v>
      </c>
      <c r="F69" s="60">
        <f>369.132/1000</f>
        <v>0.36913200000000002</v>
      </c>
      <c r="G69" s="84">
        <f t="shared" si="0"/>
        <v>0.13086799999999998</v>
      </c>
    </row>
    <row r="70" spans="1:7" ht="22.5" x14ac:dyDescent="0.25">
      <c r="A70" s="83" t="s">
        <v>334</v>
      </c>
      <c r="B70" s="83" t="s">
        <v>275</v>
      </c>
      <c r="C70" s="83" t="s">
        <v>85</v>
      </c>
      <c r="D70" s="67" t="s">
        <v>16</v>
      </c>
      <c r="E70" s="60">
        <f>6.5/1000</f>
        <v>6.4999999999999997E-3</v>
      </c>
      <c r="F70" s="60">
        <f>7.415/1000</f>
        <v>7.4149999999999997E-3</v>
      </c>
      <c r="G70" s="84">
        <f t="shared" si="0"/>
        <v>-9.1500000000000001E-4</v>
      </c>
    </row>
    <row r="71" spans="1:7" x14ac:dyDescent="0.25">
      <c r="A71" s="83" t="s">
        <v>334</v>
      </c>
      <c r="B71" s="83" t="s">
        <v>276</v>
      </c>
      <c r="C71" s="83" t="s">
        <v>86</v>
      </c>
      <c r="D71" s="67" t="s">
        <v>16</v>
      </c>
      <c r="E71" s="60">
        <f>65/1000</f>
        <v>6.5000000000000002E-2</v>
      </c>
      <c r="F71" s="60">
        <f>75.856/1000</f>
        <v>7.5855999999999993E-2</v>
      </c>
      <c r="G71" s="84">
        <f t="shared" si="0"/>
        <v>-1.0855999999999991E-2</v>
      </c>
    </row>
    <row r="72" spans="1:7" x14ac:dyDescent="0.25">
      <c r="A72" s="83" t="s">
        <v>334</v>
      </c>
      <c r="B72" s="83" t="s">
        <v>277</v>
      </c>
      <c r="C72" s="83" t="s">
        <v>28</v>
      </c>
      <c r="D72" s="67" t="s">
        <v>17</v>
      </c>
      <c r="E72" s="60">
        <f>12.576/1000</f>
        <v>1.2576E-2</v>
      </c>
      <c r="F72" s="60">
        <f>12.576/1000</f>
        <v>1.2576E-2</v>
      </c>
      <c r="G72" s="84">
        <f t="shared" si="0"/>
        <v>0</v>
      </c>
    </row>
    <row r="73" spans="1:7" ht="22.5" x14ac:dyDescent="0.25">
      <c r="A73" s="83" t="s">
        <v>335</v>
      </c>
      <c r="B73" s="83" t="s">
        <v>428</v>
      </c>
      <c r="C73" s="83" t="s">
        <v>301</v>
      </c>
      <c r="D73" s="67" t="s">
        <v>56</v>
      </c>
      <c r="E73" s="60">
        <f>8.64/1000</f>
        <v>8.6400000000000001E-3</v>
      </c>
      <c r="F73" s="60">
        <f>2.375/1000</f>
        <v>2.3749999999999999E-3</v>
      </c>
      <c r="G73" s="84">
        <f t="shared" si="0"/>
        <v>6.2649999999999997E-3</v>
      </c>
    </row>
    <row r="74" spans="1:7" x14ac:dyDescent="0.25">
      <c r="A74" s="83" t="s">
        <v>335</v>
      </c>
      <c r="B74" s="83" t="s">
        <v>278</v>
      </c>
      <c r="C74" s="83" t="s">
        <v>28</v>
      </c>
      <c r="D74" s="67" t="s">
        <v>17</v>
      </c>
      <c r="E74" s="60">
        <f>8.625/1000</f>
        <v>8.6250000000000007E-3</v>
      </c>
      <c r="F74" s="60">
        <f>8.625/1000</f>
        <v>8.6250000000000007E-3</v>
      </c>
      <c r="G74" s="84">
        <f t="shared" si="0"/>
        <v>0</v>
      </c>
    </row>
    <row r="75" spans="1:7" ht="22.5" x14ac:dyDescent="0.25">
      <c r="A75" s="83" t="s">
        <v>332</v>
      </c>
      <c r="B75" s="83" t="s">
        <v>159</v>
      </c>
      <c r="C75" s="83" t="s">
        <v>195</v>
      </c>
      <c r="D75" s="67" t="s">
        <v>14</v>
      </c>
      <c r="E75" s="60">
        <f>30000/1000</f>
        <v>30</v>
      </c>
      <c r="F75" s="60">
        <f>28349.116/1000</f>
        <v>28.349116000000002</v>
      </c>
      <c r="G75" s="84">
        <f t="shared" si="0"/>
        <v>1.6508839999999978</v>
      </c>
    </row>
    <row r="76" spans="1:7" ht="22.5" x14ac:dyDescent="0.25">
      <c r="A76" s="83" t="s">
        <v>332</v>
      </c>
      <c r="B76" s="83" t="s">
        <v>160</v>
      </c>
      <c r="C76" s="83" t="s">
        <v>195</v>
      </c>
      <c r="D76" s="67" t="s">
        <v>12</v>
      </c>
      <c r="E76" s="60">
        <f>40000/1000</f>
        <v>40</v>
      </c>
      <c r="F76" s="60">
        <f>22297.639/1000</f>
        <v>22.297639</v>
      </c>
      <c r="G76" s="84">
        <f t="shared" si="0"/>
        <v>17.702361</v>
      </c>
    </row>
    <row r="77" spans="1:7" ht="22.5" x14ac:dyDescent="0.25">
      <c r="A77" s="83" t="s">
        <v>332</v>
      </c>
      <c r="B77" s="83" t="s">
        <v>161</v>
      </c>
      <c r="C77" s="83" t="s">
        <v>195</v>
      </c>
      <c r="D77" s="67" t="s">
        <v>439</v>
      </c>
      <c r="E77" s="60">
        <f>1000/1000</f>
        <v>1</v>
      </c>
      <c r="F77" s="60">
        <f>957.924/1000</f>
        <v>0.957924</v>
      </c>
      <c r="G77" s="84">
        <f t="shared" ref="G77:G140" si="1">E77-F77</f>
        <v>4.2076000000000002E-2</v>
      </c>
    </row>
    <row r="78" spans="1:7" ht="22.5" x14ac:dyDescent="0.25">
      <c r="A78" s="83" t="s">
        <v>332</v>
      </c>
      <c r="B78" s="83" t="s">
        <v>279</v>
      </c>
      <c r="C78" s="83" t="s">
        <v>87</v>
      </c>
      <c r="D78" s="67" t="s">
        <v>13</v>
      </c>
      <c r="E78" s="60">
        <f>3688/1000</f>
        <v>3.6880000000000002</v>
      </c>
      <c r="F78" s="60">
        <f>3321.042/1000</f>
        <v>3.3210419999999998</v>
      </c>
      <c r="G78" s="84">
        <f t="shared" si="1"/>
        <v>0.36695800000000034</v>
      </c>
    </row>
    <row r="79" spans="1:7" ht="22.5" x14ac:dyDescent="0.25">
      <c r="A79" s="83" t="s">
        <v>332</v>
      </c>
      <c r="B79" s="83" t="s">
        <v>163</v>
      </c>
      <c r="C79" s="83" t="s">
        <v>88</v>
      </c>
      <c r="D79" s="67" t="s">
        <v>13</v>
      </c>
      <c r="E79" s="60">
        <f>476/1000</f>
        <v>0.47599999999999998</v>
      </c>
      <c r="F79" s="60">
        <f>793.239/1000</f>
        <v>0.79323900000000003</v>
      </c>
      <c r="G79" s="84">
        <f t="shared" si="1"/>
        <v>-0.31723900000000005</v>
      </c>
    </row>
    <row r="80" spans="1:7" x14ac:dyDescent="0.25">
      <c r="A80" s="83" t="s">
        <v>332</v>
      </c>
      <c r="B80" s="83" t="s">
        <v>429</v>
      </c>
      <c r="C80" s="83" t="s">
        <v>415</v>
      </c>
      <c r="D80" s="67" t="s">
        <v>346</v>
      </c>
      <c r="E80" s="60">
        <f>260/1000</f>
        <v>0.26</v>
      </c>
      <c r="F80" s="60">
        <f>260/1000</f>
        <v>0.26</v>
      </c>
      <c r="G80" s="84">
        <f t="shared" si="1"/>
        <v>0</v>
      </c>
    </row>
    <row r="81" spans="1:7" x14ac:dyDescent="0.25">
      <c r="A81" s="83" t="s">
        <v>332</v>
      </c>
      <c r="B81" s="83" t="s">
        <v>430</v>
      </c>
      <c r="C81" s="83" t="s">
        <v>89</v>
      </c>
      <c r="D81" s="67" t="s">
        <v>13</v>
      </c>
      <c r="E81" s="60">
        <f>680/1000</f>
        <v>0.68</v>
      </c>
      <c r="F81" s="60">
        <f>779.017/1000</f>
        <v>0.77901700000000007</v>
      </c>
      <c r="G81" s="84">
        <f t="shared" si="1"/>
        <v>-9.9017000000000022E-2</v>
      </c>
    </row>
    <row r="82" spans="1:7" ht="22.5" x14ac:dyDescent="0.25">
      <c r="A82" s="83" t="s">
        <v>332</v>
      </c>
      <c r="B82" s="83" t="s">
        <v>322</v>
      </c>
      <c r="C82" s="83" t="s">
        <v>89</v>
      </c>
      <c r="D82" s="67" t="s">
        <v>346</v>
      </c>
      <c r="E82" s="60">
        <f>680/1000</f>
        <v>0.68</v>
      </c>
      <c r="F82" s="60">
        <f>779.017/1000</f>
        <v>0.77901700000000007</v>
      </c>
      <c r="G82" s="84">
        <f t="shared" si="1"/>
        <v>-9.9017000000000022E-2</v>
      </c>
    </row>
    <row r="83" spans="1:7" x14ac:dyDescent="0.25">
      <c r="A83" s="83" t="s">
        <v>332</v>
      </c>
      <c r="B83" s="83" t="s">
        <v>280</v>
      </c>
      <c r="C83" s="83" t="s">
        <v>90</v>
      </c>
      <c r="D83" s="67" t="s">
        <v>56</v>
      </c>
      <c r="E83" s="60">
        <f>4/1000</f>
        <v>4.0000000000000001E-3</v>
      </c>
      <c r="F83" s="60">
        <f>1.862/1000</f>
        <v>1.8620000000000002E-3</v>
      </c>
      <c r="G83" s="84">
        <f t="shared" si="1"/>
        <v>2.1380000000000001E-3</v>
      </c>
    </row>
    <row r="84" spans="1:7" x14ac:dyDescent="0.25">
      <c r="A84" s="83" t="s">
        <v>332</v>
      </c>
      <c r="B84" s="83" t="s">
        <v>281</v>
      </c>
      <c r="C84" s="83" t="s">
        <v>91</v>
      </c>
      <c r="D84" s="67" t="s">
        <v>15</v>
      </c>
      <c r="E84" s="60">
        <f>140/1000</f>
        <v>0.14000000000000001</v>
      </c>
      <c r="F84" s="60">
        <f>115.302/1000</f>
        <v>0.115302</v>
      </c>
      <c r="G84" s="84">
        <f t="shared" si="1"/>
        <v>2.4698000000000012E-2</v>
      </c>
    </row>
    <row r="85" spans="1:7" x14ac:dyDescent="0.25">
      <c r="A85" s="83" t="s">
        <v>332</v>
      </c>
      <c r="B85" s="83" t="s">
        <v>282</v>
      </c>
      <c r="C85" s="83" t="s">
        <v>92</v>
      </c>
      <c r="D85" s="67" t="s">
        <v>16</v>
      </c>
      <c r="E85" s="60">
        <f>20/1000</f>
        <v>0.02</v>
      </c>
      <c r="F85" s="60">
        <f>8.213/1000</f>
        <v>8.2129999999999998E-3</v>
      </c>
      <c r="G85" s="84">
        <f t="shared" si="1"/>
        <v>1.1787000000000001E-2</v>
      </c>
    </row>
    <row r="86" spans="1:7" x14ac:dyDescent="0.25">
      <c r="A86" s="83" t="s">
        <v>332</v>
      </c>
      <c r="B86" s="83" t="s">
        <v>283</v>
      </c>
      <c r="C86" s="83" t="s">
        <v>93</v>
      </c>
      <c r="D86" s="67" t="s">
        <v>16</v>
      </c>
      <c r="E86" s="60">
        <f>20/1000</f>
        <v>0.02</v>
      </c>
      <c r="F86" s="60">
        <f>15.222/1000</f>
        <v>1.5221999999999999E-2</v>
      </c>
      <c r="G86" s="84">
        <f t="shared" si="1"/>
        <v>4.778000000000001E-3</v>
      </c>
    </row>
    <row r="87" spans="1:7" x14ac:dyDescent="0.25">
      <c r="A87" s="83" t="s">
        <v>332</v>
      </c>
      <c r="B87" s="83" t="s">
        <v>284</v>
      </c>
      <c r="C87" s="83" t="s">
        <v>94</v>
      </c>
      <c r="D87" s="67" t="s">
        <v>15</v>
      </c>
      <c r="E87" s="60">
        <f>110/1000</f>
        <v>0.11</v>
      </c>
      <c r="F87" s="60">
        <f>92.166/1000</f>
        <v>9.2165999999999998E-2</v>
      </c>
      <c r="G87" s="84">
        <f t="shared" si="1"/>
        <v>1.7834000000000003E-2</v>
      </c>
    </row>
    <row r="88" spans="1:7" x14ac:dyDescent="0.25">
      <c r="A88" s="83" t="s">
        <v>332</v>
      </c>
      <c r="B88" s="83" t="s">
        <v>285</v>
      </c>
      <c r="C88" s="83" t="s">
        <v>95</v>
      </c>
      <c r="D88" s="67" t="s">
        <v>16</v>
      </c>
      <c r="E88" s="60">
        <f>0.883/1000</f>
        <v>8.83E-4</v>
      </c>
      <c r="F88" s="60">
        <f>0.465/1000</f>
        <v>4.6500000000000003E-4</v>
      </c>
      <c r="G88" s="84">
        <f t="shared" si="1"/>
        <v>4.1799999999999997E-4</v>
      </c>
    </row>
    <row r="89" spans="1:7" x14ac:dyDescent="0.25">
      <c r="A89" s="83" t="s">
        <v>332</v>
      </c>
      <c r="B89" s="83" t="s">
        <v>286</v>
      </c>
      <c r="C89" s="83" t="s">
        <v>96</v>
      </c>
      <c r="D89" s="67" t="s">
        <v>16</v>
      </c>
      <c r="E89" s="60">
        <f>1.5/1000</f>
        <v>1.5E-3</v>
      </c>
      <c r="F89" s="60">
        <f>1.121/1000</f>
        <v>1.121E-3</v>
      </c>
      <c r="G89" s="84">
        <f t="shared" si="1"/>
        <v>3.79E-4</v>
      </c>
    </row>
    <row r="90" spans="1:7" ht="22.5" x14ac:dyDescent="0.25">
      <c r="A90" s="83" t="s">
        <v>332</v>
      </c>
      <c r="B90" s="83" t="s">
        <v>287</v>
      </c>
      <c r="C90" s="83" t="s">
        <v>97</v>
      </c>
      <c r="D90" s="67" t="s">
        <v>16</v>
      </c>
      <c r="E90" s="60">
        <f>90/1000</f>
        <v>0.09</v>
      </c>
      <c r="F90" s="60">
        <f>44.755/1000</f>
        <v>4.4755000000000003E-2</v>
      </c>
      <c r="G90" s="84">
        <f t="shared" si="1"/>
        <v>4.5244999999999994E-2</v>
      </c>
    </row>
    <row r="91" spans="1:7" x14ac:dyDescent="0.25">
      <c r="A91" s="83" t="s">
        <v>332</v>
      </c>
      <c r="B91" s="83" t="s">
        <v>288</v>
      </c>
      <c r="C91" s="83" t="s">
        <v>138</v>
      </c>
      <c r="D91" s="67" t="s">
        <v>16</v>
      </c>
      <c r="E91" s="60">
        <f>60/1000</f>
        <v>0.06</v>
      </c>
      <c r="F91" s="60">
        <f>63.729/1000</f>
        <v>6.3728999999999994E-2</v>
      </c>
      <c r="G91" s="84">
        <f t="shared" si="1"/>
        <v>-3.7289999999999962E-3</v>
      </c>
    </row>
    <row r="92" spans="1:7" x14ac:dyDescent="0.25">
      <c r="A92" s="83" t="s">
        <v>332</v>
      </c>
      <c r="B92" s="83" t="s">
        <v>289</v>
      </c>
      <c r="C92" s="83" t="s">
        <v>28</v>
      </c>
      <c r="D92" s="67" t="s">
        <v>17</v>
      </c>
      <c r="E92" s="60">
        <f>847.033/1000</f>
        <v>0.84703300000000004</v>
      </c>
      <c r="F92" s="60">
        <f>847.033/1000</f>
        <v>0.84703300000000004</v>
      </c>
      <c r="G92" s="84">
        <f t="shared" si="1"/>
        <v>0</v>
      </c>
    </row>
    <row r="93" spans="1:7" x14ac:dyDescent="0.25">
      <c r="A93" s="83" t="s">
        <v>332</v>
      </c>
      <c r="B93" s="83" t="s">
        <v>343</v>
      </c>
      <c r="C93" s="83" t="s">
        <v>340</v>
      </c>
      <c r="D93" s="67" t="s">
        <v>346</v>
      </c>
      <c r="E93" s="60">
        <f>0.785/1000</f>
        <v>7.85E-4</v>
      </c>
      <c r="F93" s="60">
        <f>0.785/1000</f>
        <v>7.85E-4</v>
      </c>
      <c r="G93" s="84">
        <f t="shared" si="1"/>
        <v>0</v>
      </c>
    </row>
    <row r="94" spans="1:7" ht="22.5" x14ac:dyDescent="0.25">
      <c r="A94" s="83" t="s">
        <v>126</v>
      </c>
      <c r="B94" s="83" t="s">
        <v>290</v>
      </c>
      <c r="C94" s="83" t="s">
        <v>99</v>
      </c>
      <c r="D94" s="67" t="s">
        <v>13</v>
      </c>
      <c r="E94" s="60">
        <f>300/1000</f>
        <v>0.3</v>
      </c>
      <c r="F94" s="60">
        <f>418.206/1000</f>
        <v>0.41820600000000002</v>
      </c>
      <c r="G94" s="84">
        <f t="shared" si="1"/>
        <v>-0.11820600000000003</v>
      </c>
    </row>
    <row r="95" spans="1:7" ht="33.75" x14ac:dyDescent="0.25">
      <c r="A95" s="83" t="s">
        <v>126</v>
      </c>
      <c r="B95" s="83" t="s">
        <v>291</v>
      </c>
      <c r="C95" s="83" t="s">
        <v>98</v>
      </c>
      <c r="D95" s="67" t="s">
        <v>15</v>
      </c>
      <c r="E95" s="60">
        <f>6.732/1000</f>
        <v>6.7320000000000001E-3</v>
      </c>
      <c r="F95" s="60">
        <f>5.106/1000</f>
        <v>5.1060000000000003E-3</v>
      </c>
      <c r="G95" s="84">
        <f t="shared" si="1"/>
        <v>1.6259999999999998E-3</v>
      </c>
    </row>
    <row r="96" spans="1:7" x14ac:dyDescent="0.25">
      <c r="A96" s="83" t="s">
        <v>126</v>
      </c>
      <c r="B96" s="83" t="s">
        <v>165</v>
      </c>
      <c r="C96" s="83" t="s">
        <v>28</v>
      </c>
      <c r="D96" s="67" t="s">
        <v>17</v>
      </c>
      <c r="E96" s="60">
        <f>65.655/1000</f>
        <v>6.5655000000000005E-2</v>
      </c>
      <c r="F96" s="60">
        <f>65.655/1000</f>
        <v>6.5655000000000005E-2</v>
      </c>
      <c r="G96" s="84">
        <f t="shared" si="1"/>
        <v>0</v>
      </c>
    </row>
    <row r="97" spans="1:7" x14ac:dyDescent="0.25">
      <c r="A97" s="83" t="s">
        <v>126</v>
      </c>
      <c r="B97" s="83" t="s">
        <v>165</v>
      </c>
      <c r="C97" s="83" t="s">
        <v>28</v>
      </c>
      <c r="D97" s="67" t="s">
        <v>17</v>
      </c>
      <c r="E97" s="60">
        <f>5.332/1000</f>
        <v>5.3319999999999999E-3</v>
      </c>
      <c r="F97" s="60">
        <f>5.332/1000</f>
        <v>5.3319999999999999E-3</v>
      </c>
      <c r="G97" s="84">
        <f t="shared" si="1"/>
        <v>0</v>
      </c>
    </row>
    <row r="98" spans="1:7" x14ac:dyDescent="0.25">
      <c r="A98" s="83" t="s">
        <v>127</v>
      </c>
      <c r="B98" s="83" t="s">
        <v>166</v>
      </c>
      <c r="C98" s="83" t="s">
        <v>28</v>
      </c>
      <c r="D98" s="67" t="s">
        <v>17</v>
      </c>
      <c r="E98" s="60">
        <f>7.354/1000</f>
        <v>7.3540000000000003E-3</v>
      </c>
      <c r="F98" s="60">
        <f>7.354/1000</f>
        <v>7.3540000000000003E-3</v>
      </c>
      <c r="G98" s="84">
        <f t="shared" si="1"/>
        <v>0</v>
      </c>
    </row>
    <row r="99" spans="1:7" x14ac:dyDescent="0.25">
      <c r="A99" s="83" t="s">
        <v>128</v>
      </c>
      <c r="B99" s="83" t="s">
        <v>167</v>
      </c>
      <c r="C99" s="83" t="s">
        <v>28</v>
      </c>
      <c r="D99" s="67" t="s">
        <v>17</v>
      </c>
      <c r="E99" s="60">
        <f>31.301/1000</f>
        <v>3.1300999999999995E-2</v>
      </c>
      <c r="F99" s="60">
        <f>31.301/1000</f>
        <v>3.1300999999999995E-2</v>
      </c>
      <c r="G99" s="84">
        <f t="shared" si="1"/>
        <v>0</v>
      </c>
    </row>
    <row r="100" spans="1:7" ht="22.5" x14ac:dyDescent="0.25">
      <c r="A100" s="83" t="s">
        <v>129</v>
      </c>
      <c r="B100" s="83" t="s">
        <v>168</v>
      </c>
      <c r="C100" s="83" t="s">
        <v>195</v>
      </c>
      <c r="D100" s="67" t="s">
        <v>14</v>
      </c>
      <c r="E100" s="60">
        <f>22000/1000</f>
        <v>22</v>
      </c>
      <c r="F100" s="60">
        <f>21435.427/1000</f>
        <v>21.435427000000001</v>
      </c>
      <c r="G100" s="84">
        <f t="shared" si="1"/>
        <v>0.56457299999999933</v>
      </c>
    </row>
    <row r="101" spans="1:7" x14ac:dyDescent="0.25">
      <c r="A101" s="83" t="s">
        <v>129</v>
      </c>
      <c r="B101" s="83" t="s">
        <v>292</v>
      </c>
      <c r="C101" s="83" t="s">
        <v>100</v>
      </c>
      <c r="D101" s="67" t="s">
        <v>15</v>
      </c>
      <c r="E101" s="60">
        <f>10/1000</f>
        <v>0.01</v>
      </c>
      <c r="F101" s="60">
        <f>6.357/1000</f>
        <v>6.3569999999999998E-3</v>
      </c>
      <c r="G101" s="84">
        <f t="shared" si="1"/>
        <v>3.6430000000000004E-3</v>
      </c>
    </row>
    <row r="102" spans="1:7" x14ac:dyDescent="0.25">
      <c r="A102" s="83" t="s">
        <v>129</v>
      </c>
      <c r="B102" s="83" t="s">
        <v>169</v>
      </c>
      <c r="C102" s="83" t="s">
        <v>28</v>
      </c>
      <c r="D102" s="67" t="s">
        <v>17</v>
      </c>
      <c r="E102" s="60">
        <f>20.621/1000</f>
        <v>2.0620999999999997E-2</v>
      </c>
      <c r="F102" s="60">
        <f>20.621/1000</f>
        <v>2.0620999999999997E-2</v>
      </c>
      <c r="G102" s="84">
        <f t="shared" si="1"/>
        <v>0</v>
      </c>
    </row>
    <row r="103" spans="1:7" x14ac:dyDescent="0.25">
      <c r="A103" s="83" t="s">
        <v>129</v>
      </c>
      <c r="B103" s="83" t="s">
        <v>344</v>
      </c>
      <c r="C103" s="83" t="s">
        <v>340</v>
      </c>
      <c r="D103" s="67" t="s">
        <v>346</v>
      </c>
      <c r="E103" s="60">
        <f>0/1000</f>
        <v>0</v>
      </c>
      <c r="F103" s="60">
        <f>0/1000</f>
        <v>0</v>
      </c>
      <c r="G103" s="84">
        <f t="shared" si="1"/>
        <v>0</v>
      </c>
    </row>
    <row r="104" spans="1:7" ht="22.5" x14ac:dyDescent="0.25">
      <c r="A104" s="83" t="s">
        <v>130</v>
      </c>
      <c r="B104" s="83" t="s">
        <v>293</v>
      </c>
      <c r="C104" s="83" t="s">
        <v>101</v>
      </c>
      <c r="D104" s="67" t="s">
        <v>15</v>
      </c>
      <c r="E104" s="60">
        <f>256.92/1000</f>
        <v>0.25692000000000004</v>
      </c>
      <c r="F104" s="60">
        <f>220.053/1000</f>
        <v>0.220053</v>
      </c>
      <c r="G104" s="84">
        <f t="shared" si="1"/>
        <v>3.6867000000000039E-2</v>
      </c>
    </row>
    <row r="105" spans="1:7" x14ac:dyDescent="0.25">
      <c r="A105" s="83" t="s">
        <v>130</v>
      </c>
      <c r="B105" s="83" t="s">
        <v>170</v>
      </c>
      <c r="C105" s="83" t="s">
        <v>28</v>
      </c>
      <c r="D105" s="67" t="s">
        <v>17</v>
      </c>
      <c r="E105" s="60">
        <f>23.509/1000</f>
        <v>2.3508999999999999E-2</v>
      </c>
      <c r="F105" s="60">
        <f>23.509/1000</f>
        <v>2.3508999999999999E-2</v>
      </c>
      <c r="G105" s="84">
        <f t="shared" si="1"/>
        <v>0</v>
      </c>
    </row>
    <row r="106" spans="1:7" ht="22.5" x14ac:dyDescent="0.25">
      <c r="A106" s="83" t="s">
        <v>347</v>
      </c>
      <c r="B106" s="83" t="s">
        <v>345</v>
      </c>
      <c r="C106" s="83" t="s">
        <v>341</v>
      </c>
      <c r="D106" s="67" t="s">
        <v>346</v>
      </c>
      <c r="E106" s="60">
        <f>90/1000</f>
        <v>0.09</v>
      </c>
      <c r="F106" s="60">
        <f>67.478/1000</f>
        <v>6.7477999999999996E-2</v>
      </c>
      <c r="G106" s="84">
        <f t="shared" si="1"/>
        <v>2.2522E-2</v>
      </c>
    </row>
    <row r="107" spans="1:7" ht="22.5" x14ac:dyDescent="0.25">
      <c r="A107" s="83" t="s">
        <v>131</v>
      </c>
      <c r="B107" s="83" t="s">
        <v>294</v>
      </c>
      <c r="C107" s="83" t="s">
        <v>99</v>
      </c>
      <c r="D107" s="67" t="s">
        <v>15</v>
      </c>
      <c r="E107" s="60">
        <f>110/1000</f>
        <v>0.11</v>
      </c>
      <c r="F107" s="60">
        <f>112.499/1000</f>
        <v>0.112499</v>
      </c>
      <c r="G107" s="84">
        <f t="shared" si="1"/>
        <v>-2.4990000000000012E-3</v>
      </c>
    </row>
    <row r="108" spans="1:7" ht="22.5" x14ac:dyDescent="0.25">
      <c r="A108" s="83" t="s">
        <v>231</v>
      </c>
      <c r="B108" s="83" t="s">
        <v>171</v>
      </c>
      <c r="C108" s="83" t="s">
        <v>195</v>
      </c>
      <c r="D108" s="67" t="s">
        <v>14</v>
      </c>
      <c r="E108" s="60">
        <f>14000/1000</f>
        <v>14</v>
      </c>
      <c r="F108" s="60">
        <f>8471.01/1000</f>
        <v>8.4710099999999997</v>
      </c>
      <c r="G108" s="84">
        <f t="shared" si="1"/>
        <v>5.5289900000000003</v>
      </c>
    </row>
    <row r="109" spans="1:7" ht="22.5" x14ac:dyDescent="0.25">
      <c r="A109" s="83" t="s">
        <v>231</v>
      </c>
      <c r="B109" s="83" t="s">
        <v>295</v>
      </c>
      <c r="C109" s="83" t="s">
        <v>195</v>
      </c>
      <c r="D109" s="67" t="s">
        <v>15</v>
      </c>
      <c r="E109" s="60">
        <f>100/1000</f>
        <v>0.1</v>
      </c>
      <c r="F109" s="60">
        <f>10.439/1000</f>
        <v>1.0439E-2</v>
      </c>
      <c r="G109" s="84">
        <f t="shared" si="1"/>
        <v>8.9561000000000002E-2</v>
      </c>
    </row>
    <row r="110" spans="1:7" ht="45" x14ac:dyDescent="0.25">
      <c r="A110" s="83" t="s">
        <v>231</v>
      </c>
      <c r="B110" s="83" t="s">
        <v>296</v>
      </c>
      <c r="C110" s="83" t="s">
        <v>102</v>
      </c>
      <c r="D110" s="67" t="s">
        <v>16</v>
      </c>
      <c r="E110" s="60">
        <f>13.13/1000</f>
        <v>1.3130000000000001E-2</v>
      </c>
      <c r="F110" s="60">
        <f>14.615/1000</f>
        <v>1.4615E-2</v>
      </c>
      <c r="G110" s="84">
        <f t="shared" si="1"/>
        <v>-1.4849999999999985E-3</v>
      </c>
    </row>
    <row r="111" spans="1:7" x14ac:dyDescent="0.25">
      <c r="A111" s="83" t="s">
        <v>231</v>
      </c>
      <c r="B111" s="83" t="s">
        <v>431</v>
      </c>
      <c r="C111" s="83" t="s">
        <v>28</v>
      </c>
      <c r="D111" s="67" t="s">
        <v>17</v>
      </c>
      <c r="E111" s="60">
        <f>0.079/1000</f>
        <v>7.8999999999999996E-5</v>
      </c>
      <c r="F111" s="60">
        <f>0.079/1000</f>
        <v>7.8999999999999996E-5</v>
      </c>
      <c r="G111" s="84">
        <f t="shared" si="1"/>
        <v>0</v>
      </c>
    </row>
    <row r="112" spans="1:7" ht="22.5" x14ac:dyDescent="0.25">
      <c r="A112" s="83" t="s">
        <v>132</v>
      </c>
      <c r="B112" s="83" t="s">
        <v>297</v>
      </c>
      <c r="C112" s="83" t="s">
        <v>103</v>
      </c>
      <c r="D112" s="67" t="s">
        <v>15</v>
      </c>
      <c r="E112" s="60">
        <f>248.4/1000</f>
        <v>0.24840000000000001</v>
      </c>
      <c r="F112" s="60">
        <f>268.495/1000</f>
        <v>0.26849499999999998</v>
      </c>
      <c r="G112" s="84">
        <f t="shared" si="1"/>
        <v>-2.0094999999999974E-2</v>
      </c>
    </row>
    <row r="113" spans="1:7" x14ac:dyDescent="0.25">
      <c r="A113" s="83" t="s">
        <v>132</v>
      </c>
      <c r="B113" s="83" t="s">
        <v>172</v>
      </c>
      <c r="C113" s="83" t="s">
        <v>28</v>
      </c>
      <c r="D113" s="67" t="s">
        <v>17</v>
      </c>
      <c r="E113" s="60">
        <f>0.583/1000</f>
        <v>5.8299999999999997E-4</v>
      </c>
      <c r="F113" s="60">
        <f>0.583/1000</f>
        <v>5.8299999999999997E-4</v>
      </c>
      <c r="G113" s="84">
        <f t="shared" si="1"/>
        <v>0</v>
      </c>
    </row>
    <row r="114" spans="1:7" ht="22.5" x14ac:dyDescent="0.25">
      <c r="A114" s="83" t="s">
        <v>139</v>
      </c>
      <c r="B114" s="83" t="s">
        <v>298</v>
      </c>
      <c r="C114" s="83" t="s">
        <v>103</v>
      </c>
      <c r="D114" s="67" t="s">
        <v>15</v>
      </c>
      <c r="E114" s="60">
        <f>92.8/1000</f>
        <v>9.2799999999999994E-2</v>
      </c>
      <c r="F114" s="60">
        <f>90.057/1000</f>
        <v>9.0056999999999998E-2</v>
      </c>
      <c r="G114" s="84">
        <f t="shared" si="1"/>
        <v>2.7429999999999954E-3</v>
      </c>
    </row>
    <row r="115" spans="1:7" x14ac:dyDescent="0.25">
      <c r="A115" s="83" t="s">
        <v>133</v>
      </c>
      <c r="B115" s="83" t="s">
        <v>173</v>
      </c>
      <c r="C115" s="83" t="s">
        <v>28</v>
      </c>
      <c r="D115" s="67" t="s">
        <v>17</v>
      </c>
      <c r="E115" s="60">
        <f>1.542/1000</f>
        <v>1.542E-3</v>
      </c>
      <c r="F115" s="60">
        <f>1.542/1000</f>
        <v>1.542E-3</v>
      </c>
      <c r="G115" s="84">
        <f t="shared" si="1"/>
        <v>0</v>
      </c>
    </row>
    <row r="116" spans="1:7" x14ac:dyDescent="0.25">
      <c r="A116" s="83" t="s">
        <v>134</v>
      </c>
      <c r="B116" s="83" t="s">
        <v>323</v>
      </c>
      <c r="C116" s="83" t="s">
        <v>327</v>
      </c>
      <c r="D116" s="67" t="s">
        <v>56</v>
      </c>
      <c r="E116" s="60">
        <f>2/1000</f>
        <v>2E-3</v>
      </c>
      <c r="F116" s="60">
        <f>0.82/1000</f>
        <v>8.1999999999999998E-4</v>
      </c>
      <c r="G116" s="84">
        <f t="shared" si="1"/>
        <v>1.1800000000000001E-3</v>
      </c>
    </row>
    <row r="117" spans="1:7" x14ac:dyDescent="0.25">
      <c r="A117" s="83" t="s">
        <v>134</v>
      </c>
      <c r="B117" s="83" t="s">
        <v>174</v>
      </c>
      <c r="C117" s="83" t="s">
        <v>28</v>
      </c>
      <c r="D117" s="67" t="s">
        <v>17</v>
      </c>
      <c r="E117" s="60">
        <f>0.892/1000</f>
        <v>8.92E-4</v>
      </c>
      <c r="F117" s="60">
        <f>0.892/1000</f>
        <v>8.92E-4</v>
      </c>
      <c r="G117" s="84">
        <f t="shared" si="1"/>
        <v>0</v>
      </c>
    </row>
    <row r="118" spans="1:7" ht="22.5" x14ac:dyDescent="0.25">
      <c r="A118" s="83" t="s">
        <v>332</v>
      </c>
      <c r="B118" s="83" t="s">
        <v>432</v>
      </c>
      <c r="C118" s="83" t="s">
        <v>416</v>
      </c>
      <c r="D118" s="67" t="s">
        <v>18</v>
      </c>
      <c r="E118" s="60">
        <f>0.025/1000</f>
        <v>2.5000000000000001E-5</v>
      </c>
      <c r="F118" s="60">
        <f>0.024/1000</f>
        <v>2.4000000000000001E-5</v>
      </c>
      <c r="G118" s="84">
        <f t="shared" si="1"/>
        <v>1.0000000000000006E-6</v>
      </c>
    </row>
    <row r="119" spans="1:7" ht="22.5" x14ac:dyDescent="0.25">
      <c r="A119" s="83" t="s">
        <v>332</v>
      </c>
      <c r="B119" s="83" t="s">
        <v>175</v>
      </c>
      <c r="C119" s="83" t="s">
        <v>104</v>
      </c>
      <c r="D119" s="67" t="s">
        <v>18</v>
      </c>
      <c r="E119" s="60">
        <f>0.1/1000</f>
        <v>1E-4</v>
      </c>
      <c r="F119" s="60">
        <f>0.122/1000</f>
        <v>1.22E-4</v>
      </c>
      <c r="G119" s="84">
        <f t="shared" si="1"/>
        <v>-2.1999999999999993E-5</v>
      </c>
    </row>
    <row r="120" spans="1:7" ht="22.5" x14ac:dyDescent="0.25">
      <c r="A120" s="83" t="s">
        <v>332</v>
      </c>
      <c r="B120" s="83" t="s">
        <v>176</v>
      </c>
      <c r="C120" s="83" t="s">
        <v>105</v>
      </c>
      <c r="D120" s="67" t="s">
        <v>18</v>
      </c>
      <c r="E120" s="60">
        <f>0.05/1000</f>
        <v>5.0000000000000002E-5</v>
      </c>
      <c r="F120" s="60">
        <f>0.139/1000</f>
        <v>1.3900000000000002E-4</v>
      </c>
      <c r="G120" s="84">
        <f t="shared" si="1"/>
        <v>-8.9000000000000022E-5</v>
      </c>
    </row>
    <row r="121" spans="1:7" ht="22.5" x14ac:dyDescent="0.25">
      <c r="A121" s="83" t="s">
        <v>332</v>
      </c>
      <c r="B121" s="83" t="s">
        <v>223</v>
      </c>
      <c r="C121" s="83" t="s">
        <v>218</v>
      </c>
      <c r="D121" s="67" t="s">
        <v>18</v>
      </c>
      <c r="E121" s="60">
        <f>0.1/1000</f>
        <v>1E-4</v>
      </c>
      <c r="F121" s="60">
        <f>0.193/1000</f>
        <v>1.93E-4</v>
      </c>
      <c r="G121" s="84">
        <f t="shared" si="1"/>
        <v>-9.2999999999999997E-5</v>
      </c>
    </row>
    <row r="122" spans="1:7" x14ac:dyDescent="0.25">
      <c r="A122" s="83" t="s">
        <v>126</v>
      </c>
      <c r="B122" s="83" t="s">
        <v>224</v>
      </c>
      <c r="C122" s="83" t="s">
        <v>219</v>
      </c>
      <c r="D122" s="67" t="s">
        <v>18</v>
      </c>
      <c r="E122" s="60">
        <f>0.1/1000</f>
        <v>1E-4</v>
      </c>
      <c r="F122" s="60">
        <f>0.065/1000</f>
        <v>6.5000000000000008E-5</v>
      </c>
      <c r="G122" s="84">
        <f t="shared" si="1"/>
        <v>3.4999999999999997E-5</v>
      </c>
    </row>
    <row r="123" spans="1:7" x14ac:dyDescent="0.25">
      <c r="A123" s="83" t="s">
        <v>126</v>
      </c>
      <c r="B123" s="83" t="s">
        <v>200</v>
      </c>
      <c r="C123" s="83" t="s">
        <v>199</v>
      </c>
      <c r="D123" s="67" t="s">
        <v>56</v>
      </c>
      <c r="E123" s="60">
        <f>2.5/1000</f>
        <v>2.5000000000000001E-3</v>
      </c>
      <c r="F123" s="60">
        <f>2.198/1000</f>
        <v>2.1979999999999999E-3</v>
      </c>
      <c r="G123" s="84">
        <f t="shared" si="1"/>
        <v>3.0200000000000018E-4</v>
      </c>
    </row>
    <row r="124" spans="1:7" ht="22.5" x14ac:dyDescent="0.25">
      <c r="A124" s="83" t="s">
        <v>332</v>
      </c>
      <c r="B124" s="83" t="s">
        <v>177</v>
      </c>
      <c r="C124" s="83" t="s">
        <v>107</v>
      </c>
      <c r="D124" s="67" t="s">
        <v>18</v>
      </c>
      <c r="E124" s="60">
        <f>0.2/1000</f>
        <v>2.0000000000000001E-4</v>
      </c>
      <c r="F124" s="60">
        <f>0.205/1000</f>
        <v>2.05E-4</v>
      </c>
      <c r="G124" s="84">
        <f t="shared" si="1"/>
        <v>-4.999999999999986E-6</v>
      </c>
    </row>
    <row r="125" spans="1:7" ht="22.5" x14ac:dyDescent="0.25">
      <c r="A125" s="83" t="s">
        <v>332</v>
      </c>
      <c r="B125" s="83" t="s">
        <v>178</v>
      </c>
      <c r="C125" s="83" t="s">
        <v>107</v>
      </c>
      <c r="D125" s="67" t="s">
        <v>18</v>
      </c>
      <c r="E125" s="60">
        <f>0.4/1000</f>
        <v>4.0000000000000002E-4</v>
      </c>
      <c r="F125" s="60">
        <f>0.354/1000</f>
        <v>3.5399999999999999E-4</v>
      </c>
      <c r="G125" s="84">
        <f t="shared" si="1"/>
        <v>4.6000000000000034E-5</v>
      </c>
    </row>
    <row r="126" spans="1:7" x14ac:dyDescent="0.25">
      <c r="A126" s="83" t="s">
        <v>332</v>
      </c>
      <c r="B126" s="83" t="s">
        <v>148</v>
      </c>
      <c r="C126" s="83" t="s">
        <v>108</v>
      </c>
      <c r="D126" s="67" t="s">
        <v>56</v>
      </c>
      <c r="E126" s="60">
        <f>4.4/1000</f>
        <v>4.4000000000000003E-3</v>
      </c>
      <c r="F126" s="60">
        <f>2.793/1000</f>
        <v>2.7930000000000003E-3</v>
      </c>
      <c r="G126" s="84">
        <f t="shared" si="1"/>
        <v>1.6069999999999999E-3</v>
      </c>
    </row>
    <row r="127" spans="1:7" x14ac:dyDescent="0.25">
      <c r="A127" s="83" t="s">
        <v>332</v>
      </c>
      <c r="B127" s="83" t="s">
        <v>153</v>
      </c>
      <c r="C127" s="83" t="s">
        <v>135</v>
      </c>
      <c r="D127" s="67" t="s">
        <v>56</v>
      </c>
      <c r="E127" s="60">
        <f>4/1000</f>
        <v>4.0000000000000001E-3</v>
      </c>
      <c r="F127" s="60">
        <f>2.647/1000</f>
        <v>2.6469999999999996E-3</v>
      </c>
      <c r="G127" s="84">
        <f t="shared" si="1"/>
        <v>1.3530000000000005E-3</v>
      </c>
    </row>
    <row r="128" spans="1:7" ht="22.5" x14ac:dyDescent="0.25">
      <c r="A128" s="83" t="s">
        <v>126</v>
      </c>
      <c r="B128" s="83" t="s">
        <v>433</v>
      </c>
      <c r="C128" s="83" t="s">
        <v>417</v>
      </c>
      <c r="D128" s="67" t="s">
        <v>56</v>
      </c>
      <c r="E128" s="60">
        <f>2.5/1000</f>
        <v>2.5000000000000001E-3</v>
      </c>
      <c r="F128" s="60">
        <f>2.128/1000</f>
        <v>2.1280000000000001E-3</v>
      </c>
      <c r="G128" s="84">
        <f t="shared" si="1"/>
        <v>3.7199999999999993E-4</v>
      </c>
    </row>
    <row r="129" spans="1:7" ht="22.5" x14ac:dyDescent="0.25">
      <c r="A129" s="83" t="s">
        <v>332</v>
      </c>
      <c r="B129" s="83" t="s">
        <v>180</v>
      </c>
      <c r="C129" s="83" t="s">
        <v>109</v>
      </c>
      <c r="D129" s="67" t="s">
        <v>18</v>
      </c>
      <c r="E129" s="60">
        <f>0.25/1000</f>
        <v>2.5000000000000001E-4</v>
      </c>
      <c r="F129" s="60">
        <f>0.23/1000</f>
        <v>2.3000000000000001E-4</v>
      </c>
      <c r="G129" s="84">
        <f t="shared" si="1"/>
        <v>1.9999999999999998E-5</v>
      </c>
    </row>
    <row r="130" spans="1:7" ht="22.5" x14ac:dyDescent="0.25">
      <c r="A130" s="83" t="s">
        <v>332</v>
      </c>
      <c r="B130" s="83" t="s">
        <v>181</v>
      </c>
      <c r="C130" s="83" t="s">
        <v>110</v>
      </c>
      <c r="D130" s="67" t="s">
        <v>18</v>
      </c>
      <c r="E130" s="60">
        <f>0.06/1000</f>
        <v>5.9999999999999995E-5</v>
      </c>
      <c r="F130" s="60">
        <f>0.049/1000</f>
        <v>4.9000000000000005E-5</v>
      </c>
      <c r="G130" s="84">
        <f t="shared" si="1"/>
        <v>1.099999999999999E-5</v>
      </c>
    </row>
    <row r="131" spans="1:7" ht="22.5" x14ac:dyDescent="0.25">
      <c r="A131" s="83" t="s">
        <v>332</v>
      </c>
      <c r="B131" s="83" t="s">
        <v>183</v>
      </c>
      <c r="C131" s="83" t="s">
        <v>111</v>
      </c>
      <c r="D131" s="67" t="s">
        <v>56</v>
      </c>
      <c r="E131" s="60">
        <f>1.7/1000</f>
        <v>1.6999999999999999E-3</v>
      </c>
      <c r="F131" s="60">
        <f>1.826/1000</f>
        <v>1.8260000000000001E-3</v>
      </c>
      <c r="G131" s="84">
        <f t="shared" si="1"/>
        <v>-1.2600000000000024E-4</v>
      </c>
    </row>
    <row r="132" spans="1:7" ht="22.5" x14ac:dyDescent="0.25">
      <c r="A132" s="83" t="s">
        <v>332</v>
      </c>
      <c r="B132" s="83" t="s">
        <v>147</v>
      </c>
      <c r="C132" s="83" t="s">
        <v>106</v>
      </c>
      <c r="D132" s="67" t="s">
        <v>56</v>
      </c>
      <c r="E132" s="60">
        <f>6.9/1000</f>
        <v>6.9000000000000008E-3</v>
      </c>
      <c r="F132" s="60">
        <f>5.19/1000</f>
        <v>5.1900000000000002E-3</v>
      </c>
      <c r="G132" s="84">
        <f t="shared" si="1"/>
        <v>1.7100000000000006E-3</v>
      </c>
    </row>
    <row r="133" spans="1:7" ht="22.5" x14ac:dyDescent="0.25">
      <c r="A133" s="83" t="s">
        <v>332</v>
      </c>
      <c r="B133" s="83" t="s">
        <v>434</v>
      </c>
      <c r="C133" s="83" t="s">
        <v>418</v>
      </c>
      <c r="D133" s="67" t="s">
        <v>17</v>
      </c>
      <c r="E133" s="60">
        <f>0/1000</f>
        <v>0</v>
      </c>
      <c r="F133" s="60">
        <f>0.009/1000</f>
        <v>8.9999999999999985E-6</v>
      </c>
      <c r="G133" s="84">
        <f t="shared" si="1"/>
        <v>-8.9999999999999985E-6</v>
      </c>
    </row>
    <row r="134" spans="1:7" ht="22.5" x14ac:dyDescent="0.25">
      <c r="A134" s="83" t="s">
        <v>332</v>
      </c>
      <c r="B134" s="83" t="s">
        <v>435</v>
      </c>
      <c r="C134" s="83" t="s">
        <v>419</v>
      </c>
      <c r="D134" s="67" t="s">
        <v>17</v>
      </c>
      <c r="E134" s="60">
        <f>0/1000</f>
        <v>0</v>
      </c>
      <c r="F134" s="60">
        <f>2.115/1000</f>
        <v>2.1150000000000001E-3</v>
      </c>
      <c r="G134" s="84">
        <f t="shared" si="1"/>
        <v>-2.1150000000000001E-3</v>
      </c>
    </row>
    <row r="135" spans="1:7" ht="33.75" x14ac:dyDescent="0.25">
      <c r="A135" s="83" t="s">
        <v>332</v>
      </c>
      <c r="B135" s="83" t="s">
        <v>185</v>
      </c>
      <c r="C135" s="83" t="s">
        <v>112</v>
      </c>
      <c r="D135" s="67" t="s">
        <v>17</v>
      </c>
      <c r="E135" s="60">
        <f>0/1000</f>
        <v>0</v>
      </c>
      <c r="F135" s="60">
        <f>0.019/1000</f>
        <v>1.9000000000000001E-5</v>
      </c>
      <c r="G135" s="84">
        <f t="shared" si="1"/>
        <v>-1.9000000000000001E-5</v>
      </c>
    </row>
    <row r="136" spans="1:7" ht="22.5" x14ac:dyDescent="0.25">
      <c r="A136" s="83" t="s">
        <v>332</v>
      </c>
      <c r="B136" s="83" t="s">
        <v>186</v>
      </c>
      <c r="C136" s="83" t="s">
        <v>113</v>
      </c>
      <c r="D136" s="67" t="s">
        <v>17</v>
      </c>
      <c r="E136" s="60">
        <f>0/1000</f>
        <v>0</v>
      </c>
      <c r="F136" s="60">
        <f>0.214/1000</f>
        <v>2.14E-4</v>
      </c>
      <c r="G136" s="84">
        <f t="shared" si="1"/>
        <v>-2.14E-4</v>
      </c>
    </row>
    <row r="137" spans="1:7" x14ac:dyDescent="0.25">
      <c r="A137" s="83" t="s">
        <v>332</v>
      </c>
      <c r="B137" s="83" t="s">
        <v>337</v>
      </c>
      <c r="C137" s="83" t="s">
        <v>336</v>
      </c>
      <c r="D137" s="67" t="s">
        <v>18</v>
      </c>
      <c r="E137" s="60">
        <f>0.3/1000</f>
        <v>2.9999999999999997E-4</v>
      </c>
      <c r="F137" s="60">
        <f>0.251/1000</f>
        <v>2.5099999999999998E-4</v>
      </c>
      <c r="G137" s="84">
        <f t="shared" si="1"/>
        <v>4.8999999999999998E-5</v>
      </c>
    </row>
    <row r="138" spans="1:7" ht="22.5" x14ac:dyDescent="0.25">
      <c r="A138" s="83" t="s">
        <v>332</v>
      </c>
      <c r="B138" s="83" t="s">
        <v>187</v>
      </c>
      <c r="C138" s="83" t="s">
        <v>114</v>
      </c>
      <c r="D138" s="67" t="s">
        <v>16</v>
      </c>
      <c r="E138" s="60">
        <f>8/1000</f>
        <v>8.0000000000000002E-3</v>
      </c>
      <c r="F138" s="60">
        <f>11.321/1000</f>
        <v>1.1320999999999999E-2</v>
      </c>
      <c r="G138" s="84">
        <f t="shared" si="1"/>
        <v>-3.3209999999999993E-3</v>
      </c>
    </row>
    <row r="139" spans="1:7" ht="22.5" x14ac:dyDescent="0.25">
      <c r="A139" s="83" t="s">
        <v>332</v>
      </c>
      <c r="B139" s="83" t="s">
        <v>226</v>
      </c>
      <c r="C139" s="83" t="s">
        <v>228</v>
      </c>
      <c r="D139" s="67" t="s">
        <v>18</v>
      </c>
      <c r="E139" s="60">
        <f>0.01/1000</f>
        <v>1.0000000000000001E-5</v>
      </c>
      <c r="F139" s="60">
        <f>0.008/1000</f>
        <v>7.9999999999999996E-6</v>
      </c>
      <c r="G139" s="84">
        <f t="shared" si="1"/>
        <v>2.0000000000000012E-6</v>
      </c>
    </row>
    <row r="140" spans="1:7" ht="22.5" x14ac:dyDescent="0.25">
      <c r="A140" s="83" t="s">
        <v>332</v>
      </c>
      <c r="B140" s="83" t="s">
        <v>188</v>
      </c>
      <c r="C140" s="83" t="s">
        <v>234</v>
      </c>
      <c r="D140" s="67" t="s">
        <v>56</v>
      </c>
      <c r="E140" s="60">
        <f>0.5/1000</f>
        <v>5.0000000000000001E-4</v>
      </c>
      <c r="F140" s="60">
        <f>0.537/1000</f>
        <v>5.3700000000000004E-4</v>
      </c>
      <c r="G140" s="84">
        <f t="shared" si="1"/>
        <v>-3.7000000000000032E-5</v>
      </c>
    </row>
    <row r="141" spans="1:7" ht="22.5" x14ac:dyDescent="0.25">
      <c r="A141" s="83" t="s">
        <v>332</v>
      </c>
      <c r="B141" s="83" t="s">
        <v>184</v>
      </c>
      <c r="C141" s="83" t="s">
        <v>115</v>
      </c>
      <c r="D141" s="67" t="s">
        <v>56</v>
      </c>
      <c r="E141" s="60">
        <f>1.4/1000</f>
        <v>1.4E-3</v>
      </c>
      <c r="F141" s="60">
        <f>2.839/1000</f>
        <v>2.8389999999999999E-3</v>
      </c>
      <c r="G141" s="84">
        <f t="shared" ref="G141:G166" si="2">E141-F141</f>
        <v>-1.439E-3</v>
      </c>
    </row>
    <row r="142" spans="1:7" ht="22.5" x14ac:dyDescent="0.25">
      <c r="A142" s="83" t="s">
        <v>332</v>
      </c>
      <c r="B142" s="83" t="s">
        <v>189</v>
      </c>
      <c r="C142" s="83" t="s">
        <v>116</v>
      </c>
      <c r="D142" s="67" t="s">
        <v>18</v>
      </c>
      <c r="E142" s="60">
        <f>0.1/1000</f>
        <v>1E-4</v>
      </c>
      <c r="F142" s="60">
        <f>0.25/1000</f>
        <v>2.5000000000000001E-4</v>
      </c>
      <c r="G142" s="84">
        <f t="shared" si="2"/>
        <v>-1.5000000000000001E-4</v>
      </c>
    </row>
    <row r="143" spans="1:7" ht="22.5" x14ac:dyDescent="0.25">
      <c r="A143" s="83" t="s">
        <v>332</v>
      </c>
      <c r="B143" s="83" t="s">
        <v>201</v>
      </c>
      <c r="C143" s="83" t="s">
        <v>203</v>
      </c>
      <c r="D143" s="67" t="s">
        <v>18</v>
      </c>
      <c r="E143" s="60">
        <f>0.15/1000</f>
        <v>1.4999999999999999E-4</v>
      </c>
      <c r="F143" s="60">
        <f>0.039/1000</f>
        <v>3.8999999999999999E-5</v>
      </c>
      <c r="G143" s="84">
        <f t="shared" si="2"/>
        <v>1.1099999999999999E-4</v>
      </c>
    </row>
    <row r="144" spans="1:7" ht="22.5" x14ac:dyDescent="0.25">
      <c r="A144" s="83" t="s">
        <v>332</v>
      </c>
      <c r="B144" s="83" t="s">
        <v>436</v>
      </c>
      <c r="C144" s="83" t="s">
        <v>420</v>
      </c>
      <c r="D144" s="67" t="s">
        <v>18</v>
      </c>
      <c r="E144" s="60">
        <f>0.1/1000</f>
        <v>1E-4</v>
      </c>
      <c r="F144" s="60">
        <f>0.353/1000</f>
        <v>3.5299999999999996E-4</v>
      </c>
      <c r="G144" s="84">
        <f t="shared" si="2"/>
        <v>-2.5299999999999997E-4</v>
      </c>
    </row>
    <row r="145" spans="1:7" ht="33.75" x14ac:dyDescent="0.25">
      <c r="A145" s="83" t="s">
        <v>332</v>
      </c>
      <c r="B145" s="83" t="s">
        <v>324</v>
      </c>
      <c r="C145" s="83" t="s">
        <v>328</v>
      </c>
      <c r="D145" s="67" t="s">
        <v>346</v>
      </c>
      <c r="E145" s="60">
        <f>3.3/1000</f>
        <v>3.3E-3</v>
      </c>
      <c r="F145" s="60">
        <f>2.87/1000</f>
        <v>2.8700000000000002E-3</v>
      </c>
      <c r="G145" s="84">
        <f t="shared" si="2"/>
        <v>4.2999999999999983E-4</v>
      </c>
    </row>
    <row r="146" spans="1:7" ht="22.5" x14ac:dyDescent="0.25">
      <c r="A146" s="83" t="s">
        <v>332</v>
      </c>
      <c r="B146" s="83" t="s">
        <v>213</v>
      </c>
      <c r="C146" s="83" t="s">
        <v>211</v>
      </c>
      <c r="D146" s="67" t="s">
        <v>17</v>
      </c>
      <c r="E146" s="60">
        <f>0/1000</f>
        <v>0</v>
      </c>
      <c r="F146" s="60">
        <f>0.043/1000</f>
        <v>4.2999999999999995E-5</v>
      </c>
      <c r="G146" s="84">
        <f t="shared" si="2"/>
        <v>-4.2999999999999995E-5</v>
      </c>
    </row>
    <row r="147" spans="1:7" x14ac:dyDescent="0.25">
      <c r="A147" s="83" t="s">
        <v>332</v>
      </c>
      <c r="B147" s="83" t="s">
        <v>192</v>
      </c>
      <c r="C147" s="83" t="s">
        <v>117</v>
      </c>
      <c r="D147" s="67" t="s">
        <v>56</v>
      </c>
      <c r="E147" s="60">
        <f>0.4/1000</f>
        <v>4.0000000000000002E-4</v>
      </c>
      <c r="F147" s="60">
        <f>0.354/1000</f>
        <v>3.5399999999999999E-4</v>
      </c>
      <c r="G147" s="84">
        <f t="shared" si="2"/>
        <v>4.6000000000000034E-5</v>
      </c>
    </row>
    <row r="148" spans="1:7" x14ac:dyDescent="0.25">
      <c r="A148" s="83" t="s">
        <v>332</v>
      </c>
      <c r="B148" s="83" t="s">
        <v>232</v>
      </c>
      <c r="C148" s="83" t="s">
        <v>235</v>
      </c>
      <c r="D148" s="67" t="s">
        <v>18</v>
      </c>
      <c r="E148" s="60">
        <f>0.05/1000</f>
        <v>5.0000000000000002E-5</v>
      </c>
      <c r="F148" s="60">
        <f>0.112/1000</f>
        <v>1.12E-4</v>
      </c>
      <c r="G148" s="84">
        <f t="shared" si="2"/>
        <v>-6.1999999999999989E-5</v>
      </c>
    </row>
    <row r="149" spans="1:7" x14ac:dyDescent="0.25">
      <c r="A149" s="83" t="s">
        <v>332</v>
      </c>
      <c r="B149" s="83" t="s">
        <v>202</v>
      </c>
      <c r="C149" s="83" t="s">
        <v>204</v>
      </c>
      <c r="D149" s="67" t="s">
        <v>56</v>
      </c>
      <c r="E149" s="60">
        <f>0.3/1000</f>
        <v>2.9999999999999997E-4</v>
      </c>
      <c r="F149" s="60">
        <f>0.487/1000</f>
        <v>4.8699999999999997E-4</v>
      </c>
      <c r="G149" s="84">
        <f t="shared" si="2"/>
        <v>-1.8699999999999999E-4</v>
      </c>
    </row>
    <row r="150" spans="1:7" ht="22.5" x14ac:dyDescent="0.25">
      <c r="A150" s="83" t="s">
        <v>130</v>
      </c>
      <c r="B150" s="83" t="s">
        <v>162</v>
      </c>
      <c r="C150" s="83" t="s">
        <v>118</v>
      </c>
      <c r="D150" s="67" t="s">
        <v>56</v>
      </c>
      <c r="E150" s="60">
        <f>2/1000</f>
        <v>2E-3</v>
      </c>
      <c r="F150" s="60">
        <f>2.176/1000</f>
        <v>2.176E-3</v>
      </c>
      <c r="G150" s="84">
        <f t="shared" si="2"/>
        <v>-1.7599999999999994E-4</v>
      </c>
    </row>
    <row r="151" spans="1:7" ht="22.5" x14ac:dyDescent="0.25">
      <c r="A151" s="83" t="s">
        <v>332</v>
      </c>
      <c r="B151" s="83" t="s">
        <v>191</v>
      </c>
      <c r="C151" s="83" t="s">
        <v>119</v>
      </c>
      <c r="D151" s="67" t="s">
        <v>56</v>
      </c>
      <c r="E151" s="60">
        <f>0.1/1000</f>
        <v>1E-4</v>
      </c>
      <c r="F151" s="60">
        <f>0.29/1000</f>
        <v>2.9E-4</v>
      </c>
      <c r="G151" s="84">
        <f t="shared" si="2"/>
        <v>-1.9000000000000001E-4</v>
      </c>
    </row>
    <row r="152" spans="1:7" x14ac:dyDescent="0.25">
      <c r="A152" s="83" t="s">
        <v>129</v>
      </c>
      <c r="B152" s="83" t="s">
        <v>193</v>
      </c>
      <c r="C152" s="83" t="s">
        <v>120</v>
      </c>
      <c r="D152" s="67" t="s">
        <v>56</v>
      </c>
      <c r="E152" s="60">
        <f>3.5/1000</f>
        <v>3.5000000000000001E-3</v>
      </c>
      <c r="F152" s="60">
        <f>4.242/1000</f>
        <v>4.2420000000000001E-3</v>
      </c>
      <c r="G152" s="84">
        <f t="shared" si="2"/>
        <v>-7.4200000000000004E-4</v>
      </c>
    </row>
    <row r="153" spans="1:7" x14ac:dyDescent="0.25">
      <c r="A153" s="83" t="s">
        <v>332</v>
      </c>
      <c r="B153" s="83" t="s">
        <v>233</v>
      </c>
      <c r="C153" s="83" t="s">
        <v>235</v>
      </c>
      <c r="D153" s="67" t="s">
        <v>18</v>
      </c>
      <c r="E153" s="60">
        <f>0.1/1000</f>
        <v>1E-4</v>
      </c>
      <c r="F153" s="60">
        <f>0.008/1000</f>
        <v>7.9999999999999996E-6</v>
      </c>
      <c r="G153" s="84">
        <f t="shared" si="2"/>
        <v>9.2E-5</v>
      </c>
    </row>
    <row r="154" spans="1:7" x14ac:dyDescent="0.25">
      <c r="A154" s="83" t="s">
        <v>332</v>
      </c>
      <c r="B154" s="83" t="s">
        <v>179</v>
      </c>
      <c r="C154" s="83" t="s">
        <v>121</v>
      </c>
      <c r="D154" s="67" t="s">
        <v>16</v>
      </c>
      <c r="E154" s="60">
        <f>0.5/1000</f>
        <v>5.0000000000000001E-4</v>
      </c>
      <c r="F154" s="60">
        <f>0.528/1000</f>
        <v>5.2800000000000004E-4</v>
      </c>
      <c r="G154" s="84">
        <f t="shared" si="2"/>
        <v>-2.800000000000003E-5</v>
      </c>
    </row>
    <row r="155" spans="1:7" x14ac:dyDescent="0.25">
      <c r="A155" s="83" t="s">
        <v>332</v>
      </c>
      <c r="B155" s="83" t="s">
        <v>190</v>
      </c>
      <c r="C155" s="83" t="s">
        <v>122</v>
      </c>
      <c r="D155" s="67" t="s">
        <v>56</v>
      </c>
      <c r="E155" s="60">
        <f>0.4/1000</f>
        <v>4.0000000000000002E-4</v>
      </c>
      <c r="F155" s="60">
        <f>0.41/1000</f>
        <v>4.0999999999999999E-4</v>
      </c>
      <c r="G155" s="84">
        <f t="shared" si="2"/>
        <v>-9.999999999999972E-6</v>
      </c>
    </row>
    <row r="156" spans="1:7" x14ac:dyDescent="0.25">
      <c r="A156" s="83" t="s">
        <v>331</v>
      </c>
      <c r="B156" s="83" t="s">
        <v>164</v>
      </c>
      <c r="C156" s="83" t="s">
        <v>123</v>
      </c>
      <c r="D156" s="67" t="s">
        <v>56</v>
      </c>
      <c r="E156" s="60">
        <f>2.1/1000</f>
        <v>2.1000000000000003E-3</v>
      </c>
      <c r="F156" s="60">
        <f>1.174/1000</f>
        <v>1.1739999999999999E-3</v>
      </c>
      <c r="G156" s="84">
        <f t="shared" si="2"/>
        <v>9.2600000000000039E-4</v>
      </c>
    </row>
    <row r="157" spans="1:7" x14ac:dyDescent="0.25">
      <c r="A157" s="83" t="s">
        <v>331</v>
      </c>
      <c r="B157" s="83" t="s">
        <v>182</v>
      </c>
      <c r="C157" s="83" t="s">
        <v>124</v>
      </c>
      <c r="D157" s="67" t="s">
        <v>56</v>
      </c>
      <c r="E157" s="60">
        <f>0.3/1000</f>
        <v>2.9999999999999997E-4</v>
      </c>
      <c r="F157" s="60">
        <f>0.625/1000</f>
        <v>6.2500000000000001E-4</v>
      </c>
      <c r="G157" s="84">
        <f t="shared" si="2"/>
        <v>-3.2500000000000004E-4</v>
      </c>
    </row>
    <row r="158" spans="1:7" x14ac:dyDescent="0.25">
      <c r="A158" s="83" t="s">
        <v>334</v>
      </c>
      <c r="B158" s="83" t="s">
        <v>225</v>
      </c>
      <c r="C158" s="83" t="s">
        <v>220</v>
      </c>
      <c r="D158" s="67" t="s">
        <v>56</v>
      </c>
      <c r="E158" s="60">
        <f>2/1000</f>
        <v>2E-3</v>
      </c>
      <c r="F158" s="60">
        <f>1.523/1000</f>
        <v>1.5229999999999998E-3</v>
      </c>
      <c r="G158" s="84">
        <f t="shared" si="2"/>
        <v>4.7700000000000021E-4</v>
      </c>
    </row>
    <row r="159" spans="1:7" x14ac:dyDescent="0.25">
      <c r="A159" s="83" t="s">
        <v>331</v>
      </c>
      <c r="B159" s="83" t="s">
        <v>437</v>
      </c>
      <c r="C159" s="83" t="s">
        <v>73</v>
      </c>
      <c r="D159" s="67" t="s">
        <v>56</v>
      </c>
      <c r="E159" s="60">
        <f>2/1000</f>
        <v>2E-3</v>
      </c>
      <c r="F159" s="60">
        <f>2.028/1000</f>
        <v>2.0279999999999999E-3</v>
      </c>
      <c r="G159" s="84">
        <f t="shared" si="2"/>
        <v>-2.7999999999999813E-5</v>
      </c>
    </row>
    <row r="160" spans="1:7" x14ac:dyDescent="0.25">
      <c r="A160" s="83" t="s">
        <v>331</v>
      </c>
      <c r="B160" s="83" t="s">
        <v>317</v>
      </c>
      <c r="C160" s="83" t="s">
        <v>318</v>
      </c>
      <c r="D160" s="67" t="s">
        <v>56</v>
      </c>
      <c r="E160" s="60">
        <f>0.02/1000</f>
        <v>2.0000000000000002E-5</v>
      </c>
      <c r="F160" s="60">
        <f>1.902/1000</f>
        <v>1.9019999999999998E-3</v>
      </c>
      <c r="G160" s="84">
        <f t="shared" si="2"/>
        <v>-1.8819999999999998E-3</v>
      </c>
    </row>
    <row r="161" spans="1:7" x14ac:dyDescent="0.25">
      <c r="A161" s="83" t="s">
        <v>331</v>
      </c>
      <c r="B161" s="83" t="s">
        <v>438</v>
      </c>
      <c r="C161" s="83" t="s">
        <v>421</v>
      </c>
      <c r="D161" s="67" t="s">
        <v>18</v>
      </c>
      <c r="E161" s="60">
        <f>0/1000</f>
        <v>0</v>
      </c>
      <c r="F161" s="60">
        <f>0.001/1000</f>
        <v>9.9999999999999995E-7</v>
      </c>
      <c r="G161" s="84">
        <f t="shared" si="2"/>
        <v>-9.9999999999999995E-7</v>
      </c>
    </row>
    <row r="162" spans="1:7" x14ac:dyDescent="0.25">
      <c r="A162" s="83" t="s">
        <v>334</v>
      </c>
      <c r="B162" s="83" t="s">
        <v>299</v>
      </c>
      <c r="C162" s="83" t="s">
        <v>125</v>
      </c>
      <c r="D162" s="67" t="s">
        <v>18</v>
      </c>
      <c r="E162" s="60">
        <f>0.05/1000</f>
        <v>5.0000000000000002E-5</v>
      </c>
      <c r="F162" s="60">
        <f>0.043/1000</f>
        <v>4.2999999999999995E-5</v>
      </c>
      <c r="G162" s="84">
        <f t="shared" si="2"/>
        <v>7.0000000000000075E-6</v>
      </c>
    </row>
    <row r="163" spans="1:7" ht="22.5" x14ac:dyDescent="0.25">
      <c r="A163" s="83" t="s">
        <v>334</v>
      </c>
      <c r="B163" s="83" t="s">
        <v>338</v>
      </c>
      <c r="C163" s="83" t="s">
        <v>221</v>
      </c>
      <c r="D163" s="67" t="s">
        <v>18</v>
      </c>
      <c r="E163" s="60">
        <f>0/1000</f>
        <v>0</v>
      </c>
      <c r="F163" s="60">
        <f>0.027/1000</f>
        <v>2.6999999999999999E-5</v>
      </c>
      <c r="G163" s="84">
        <f t="shared" si="2"/>
        <v>-2.6999999999999999E-5</v>
      </c>
    </row>
    <row r="164" spans="1:7" x14ac:dyDescent="0.25">
      <c r="A164" s="83" t="s">
        <v>330</v>
      </c>
      <c r="B164" s="83" t="s">
        <v>214</v>
      </c>
      <c r="C164" s="83" t="s">
        <v>422</v>
      </c>
      <c r="D164" s="67" t="s">
        <v>56</v>
      </c>
      <c r="E164" s="60">
        <f>0.5/1000</f>
        <v>5.0000000000000001E-4</v>
      </c>
      <c r="F164" s="60">
        <f>3.431/1000</f>
        <v>3.431E-3</v>
      </c>
      <c r="G164" s="84">
        <f t="shared" si="2"/>
        <v>-2.931E-3</v>
      </c>
    </row>
    <row r="165" spans="1:7" ht="22.5" x14ac:dyDescent="0.25">
      <c r="A165" s="83" t="s">
        <v>331</v>
      </c>
      <c r="B165" s="83" t="s">
        <v>215</v>
      </c>
      <c r="C165" s="83" t="s">
        <v>212</v>
      </c>
      <c r="D165" s="67" t="s">
        <v>17</v>
      </c>
      <c r="E165" s="60">
        <v>0</v>
      </c>
      <c r="F165" s="60">
        <f>0.035/1000</f>
        <v>3.5000000000000004E-5</v>
      </c>
      <c r="G165" s="84">
        <f t="shared" si="2"/>
        <v>-3.5000000000000004E-5</v>
      </c>
    </row>
    <row r="166" spans="1:7" x14ac:dyDescent="0.25">
      <c r="A166" s="83" t="s">
        <v>335</v>
      </c>
      <c r="B166" s="83" t="s">
        <v>325</v>
      </c>
      <c r="C166" s="83" t="s">
        <v>329</v>
      </c>
      <c r="D166" s="67" t="s">
        <v>17</v>
      </c>
      <c r="E166" s="60">
        <f>0.4/1000</f>
        <v>4.0000000000000002E-4</v>
      </c>
      <c r="F166" s="60">
        <f>0.058/1000</f>
        <v>5.8E-5</v>
      </c>
      <c r="G166" s="84">
        <f t="shared" si="2"/>
        <v>3.4200000000000002E-4</v>
      </c>
    </row>
    <row r="167" spans="1:7" x14ac:dyDescent="0.25">
      <c r="A167" s="33" t="s">
        <v>348</v>
      </c>
      <c r="B167" s="16"/>
      <c r="C167" s="16"/>
      <c r="D167" s="31"/>
      <c r="E167" s="34">
        <f>SUM(E12:E166)</f>
        <v>217.50756900000007</v>
      </c>
      <c r="F167" s="34">
        <f>SUM(F12:F166)</f>
        <v>168.73905599999995</v>
      </c>
      <c r="G167" s="32"/>
    </row>
  </sheetData>
  <autoFilter ref="A11:K167"/>
  <mergeCells count="2">
    <mergeCell ref="F1:G5"/>
    <mergeCell ref="C2:E7"/>
  </mergeCells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zoomScale="110" zoomScaleNormal="80" zoomScaleSheetLayoutView="110" workbookViewId="0">
      <selection activeCell="F12" sqref="F12"/>
    </sheetView>
  </sheetViews>
  <sheetFormatPr defaultColWidth="9.140625" defaultRowHeight="15" x14ac:dyDescent="0.25"/>
  <cols>
    <col min="1" max="1" width="24.42578125" style="4" customWidth="1"/>
    <col min="2" max="3" width="45.28515625" style="4" customWidth="1"/>
    <col min="4" max="4" width="13.7109375" style="4" customWidth="1"/>
    <col min="5" max="6" width="18.140625" style="4" customWidth="1"/>
    <col min="7" max="7" width="20.140625" style="8" customWidth="1"/>
    <col min="8" max="8" width="10.5703125" style="4" bestFit="1" customWidth="1"/>
    <col min="9" max="16384" width="9.140625" style="4"/>
  </cols>
  <sheetData>
    <row r="1" spans="1:7" ht="15" customHeight="1" x14ac:dyDescent="0.25">
      <c r="C1" s="11"/>
      <c r="D1" s="11"/>
      <c r="E1" s="11"/>
      <c r="F1" s="96" t="s">
        <v>210</v>
      </c>
      <c r="G1" s="97"/>
    </row>
    <row r="2" spans="1:7" ht="15" customHeight="1" x14ac:dyDescent="0.25">
      <c r="C2" s="89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за АВГУСТ 2024 года
</v>
      </c>
      <c r="D2" s="89"/>
      <c r="E2" s="89"/>
      <c r="F2" s="97"/>
      <c r="G2" s="97"/>
    </row>
    <row r="3" spans="1:7" ht="15" customHeight="1" x14ac:dyDescent="0.25">
      <c r="C3" s="89"/>
      <c r="D3" s="89"/>
      <c r="E3" s="89"/>
      <c r="F3" s="97"/>
      <c r="G3" s="97"/>
    </row>
    <row r="4" spans="1:7" ht="15" customHeight="1" x14ac:dyDescent="0.25">
      <c r="C4" s="89"/>
      <c r="D4" s="89"/>
      <c r="E4" s="89"/>
      <c r="F4" s="97"/>
      <c r="G4" s="97"/>
    </row>
    <row r="5" spans="1:7" ht="15" customHeight="1" x14ac:dyDescent="0.25">
      <c r="C5" s="89"/>
      <c r="D5" s="89"/>
      <c r="E5" s="89"/>
      <c r="F5" s="97"/>
      <c r="G5" s="97"/>
    </row>
    <row r="6" spans="1:7" ht="15" customHeight="1" x14ac:dyDescent="0.25">
      <c r="C6" s="89"/>
      <c r="D6" s="89"/>
      <c r="E6" s="89"/>
    </row>
    <row r="7" spans="1:7" ht="15" customHeight="1" x14ac:dyDescent="0.25">
      <c r="C7" s="89"/>
      <c r="D7" s="89"/>
      <c r="E7" s="89"/>
    </row>
    <row r="8" spans="1:7" x14ac:dyDescent="0.25">
      <c r="A8" s="13">
        <f>'Приморский край'!A8</f>
        <v>45535</v>
      </c>
      <c r="C8" s="11"/>
      <c r="D8" s="11"/>
      <c r="E8" s="11"/>
      <c r="F8" s="11"/>
      <c r="G8" s="26"/>
    </row>
    <row r="9" spans="1:7" hidden="1" x14ac:dyDescent="0.25">
      <c r="C9" s="12"/>
      <c r="D9" s="12"/>
      <c r="E9" s="14">
        <f>SUBTOTAL(9,(E13:E564))*1000</f>
        <v>169.04</v>
      </c>
      <c r="F9" s="14">
        <f>SUBTOTAL(9,(F13:F564))*1000</f>
        <v>135.214</v>
      </c>
    </row>
    <row r="10" spans="1:7" ht="42" x14ac:dyDescent="0.25">
      <c r="A10" s="5" t="s">
        <v>3</v>
      </c>
      <c r="B10" s="5" t="s">
        <v>4</v>
      </c>
      <c r="C10" s="10" t="s">
        <v>5</v>
      </c>
      <c r="D10" s="10" t="s">
        <v>6</v>
      </c>
      <c r="E10" s="10" t="s">
        <v>0</v>
      </c>
      <c r="F10" s="5" t="s">
        <v>1</v>
      </c>
      <c r="G10" s="5" t="s">
        <v>2</v>
      </c>
    </row>
    <row r="11" spans="1:7" x14ac:dyDescent="0.25">
      <c r="A11" s="18">
        <v>1</v>
      </c>
      <c r="B11" s="18">
        <v>2</v>
      </c>
      <c r="C11" s="19">
        <v>3</v>
      </c>
      <c r="D11" s="19">
        <v>4</v>
      </c>
      <c r="E11" s="19">
        <v>5</v>
      </c>
      <c r="F11" s="18">
        <v>6</v>
      </c>
      <c r="G11" s="18">
        <v>7</v>
      </c>
    </row>
    <row r="12" spans="1:7" ht="22.5" x14ac:dyDescent="0.25">
      <c r="A12" s="85" t="s">
        <v>352</v>
      </c>
      <c r="B12" s="86" t="s">
        <v>409</v>
      </c>
      <c r="C12" s="80" t="s">
        <v>408</v>
      </c>
      <c r="D12" s="19" t="s">
        <v>13</v>
      </c>
      <c r="E12" s="25">
        <f>169.04/1000</f>
        <v>0.16904</v>
      </c>
      <c r="F12" s="25">
        <f>135.214/1000</f>
        <v>0.135214</v>
      </c>
      <c r="G12" s="25">
        <f>E12-F12</f>
        <v>3.3825999999999995E-2</v>
      </c>
    </row>
    <row r="13" spans="1:7" x14ac:dyDescent="0.25">
      <c r="A13" s="18" t="s">
        <v>9</v>
      </c>
      <c r="B13" s="16"/>
      <c r="C13" s="16"/>
      <c r="D13" s="22"/>
      <c r="E13" s="22">
        <f>SUM(E12:E12)</f>
        <v>0.16904</v>
      </c>
      <c r="F13" s="22">
        <f>SUM(F12:F12)</f>
        <v>0.135214</v>
      </c>
      <c r="G13" s="22">
        <f>SUM(G12)</f>
        <v>3.3825999999999995E-2</v>
      </c>
    </row>
    <row r="14" spans="1:7" x14ac:dyDescent="0.25">
      <c r="D14" s="15"/>
    </row>
    <row r="15" spans="1:7" x14ac:dyDescent="0.25">
      <c r="F15" s="17"/>
    </row>
    <row r="16" spans="1:7" x14ac:dyDescent="0.25">
      <c r="D16" s="17"/>
      <c r="E16" s="17"/>
    </row>
    <row r="17" spans="5:6" x14ac:dyDescent="0.25">
      <c r="F17" s="20"/>
    </row>
    <row r="18" spans="5:6" x14ac:dyDescent="0.25">
      <c r="E18" s="20"/>
      <c r="F18" s="29"/>
    </row>
  </sheetData>
  <autoFilter ref="A10:G10"/>
  <mergeCells count="2">
    <mergeCell ref="F1:G5"/>
    <mergeCell ref="C2:E7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Приморский край</vt:lpstr>
      <vt:lpstr>Камчатский край</vt:lpstr>
      <vt:lpstr>Хабаровский край</vt:lpstr>
      <vt:lpstr>Амурская область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2026-01-14T04:44:16Z</dcterms:modified>
</cp:coreProperties>
</file>