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vate\ФАС\2022\10.2022\"/>
    </mc:Choice>
  </mc:AlternateContent>
  <bookViews>
    <workbookView xWindow="0" yWindow="0" windowWidth="28800" windowHeight="12435" activeTab="9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</sheets>
  <externalReferences>
    <externalReference r:id="rId11"/>
    <externalReference r:id="rId12"/>
  </externalReferences>
  <definedNames>
    <definedName name="_xlnm.Print_Area" localSheetId="1">Февраль!$A$2:$J$8</definedName>
    <definedName name="_xlnm.Print_Area" localSheetId="0">Январь!$A$2:$J$8</definedName>
  </definedNames>
  <calcPr calcId="152511"/>
</workbook>
</file>

<file path=xl/calcChain.xml><?xml version="1.0" encoding="utf-8"?>
<calcChain xmlns="http://schemas.openxmlformats.org/spreadsheetml/2006/main">
  <c r="J6" i="10" l="1"/>
  <c r="J7" i="8"/>
  <c r="J7" i="10"/>
  <c r="J9" i="10"/>
  <c r="H9" i="10" l="1"/>
  <c r="I7" i="10" l="1"/>
  <c r="H15" i="10"/>
  <c r="G15" i="10"/>
  <c r="H14" i="10"/>
  <c r="G14" i="10"/>
  <c r="H12" i="10"/>
  <c r="G12" i="10"/>
  <c r="H11" i="10"/>
  <c r="G11" i="10"/>
  <c r="G9" i="10"/>
  <c r="H8" i="10"/>
  <c r="G8" i="10"/>
  <c r="H7" i="10"/>
  <c r="G7" i="10"/>
  <c r="H6" i="10"/>
  <c r="G6" i="10"/>
  <c r="E9" i="10" l="1"/>
  <c r="I9" i="10" s="1"/>
  <c r="E7" i="10"/>
  <c r="E6" i="10"/>
  <c r="I6" i="10"/>
  <c r="H6" i="9" l="1"/>
  <c r="G6" i="9"/>
  <c r="H7" i="9"/>
  <c r="G7" i="9"/>
  <c r="G9" i="9"/>
  <c r="H15" i="9"/>
  <c r="G15" i="9"/>
  <c r="E9" i="9"/>
  <c r="E7" i="9"/>
  <c r="E6" i="9"/>
  <c r="I9" i="9"/>
  <c r="J9" i="9" s="1"/>
  <c r="I7" i="9"/>
  <c r="J7" i="9" s="1"/>
  <c r="I6" i="9"/>
  <c r="J6" i="9" s="1"/>
  <c r="E7" i="8" l="1"/>
  <c r="E6" i="8"/>
  <c r="I6" i="8" s="1"/>
  <c r="J6" i="8" s="1"/>
  <c r="E9" i="8"/>
  <c r="I9" i="8" s="1"/>
  <c r="J9" i="8" s="1"/>
  <c r="H14" i="8"/>
  <c r="I7" i="8"/>
  <c r="H14" i="7" l="1"/>
  <c r="J9" i="7"/>
  <c r="I9" i="7"/>
  <c r="E9" i="7"/>
  <c r="I7" i="7"/>
  <c r="J7" i="7" s="1"/>
  <c r="E7" i="7"/>
  <c r="E6" i="7"/>
  <c r="I6" i="7" s="1"/>
  <c r="J6" i="7" s="1"/>
  <c r="E6" i="6" l="1"/>
  <c r="I6" i="6" l="1"/>
  <c r="J6" i="6"/>
  <c r="H14" i="6"/>
  <c r="H15" i="6"/>
  <c r="G15" i="6"/>
  <c r="H6" i="6"/>
  <c r="G6" i="6"/>
  <c r="H7" i="6"/>
  <c r="G7" i="6"/>
  <c r="I7" i="6" l="1"/>
  <c r="E9" i="6"/>
  <c r="E7" i="6"/>
  <c r="I9" i="6" l="1"/>
  <c r="J9" i="6" s="1"/>
  <c r="J7" i="6"/>
  <c r="E9" i="5" l="1"/>
  <c r="I9" i="5" s="1"/>
  <c r="J9" i="5" s="1"/>
  <c r="E7" i="5"/>
  <c r="I7" i="5" s="1"/>
  <c r="J7" i="5" s="1"/>
  <c r="E6" i="5"/>
  <c r="I6" i="5" s="1"/>
  <c r="J6" i="5" s="1"/>
  <c r="E9" i="4" l="1"/>
  <c r="I9" i="4" s="1"/>
  <c r="J9" i="4" s="1"/>
  <c r="E7" i="4"/>
  <c r="I7" i="4" s="1"/>
  <c r="J7" i="4" s="1"/>
  <c r="E6" i="4"/>
  <c r="I6" i="4" s="1"/>
  <c r="J6" i="4" s="1"/>
  <c r="I9" i="3" l="1"/>
  <c r="J9" i="3" s="1"/>
  <c r="E9" i="3"/>
  <c r="E7" i="3"/>
  <c r="I7" i="3" s="1"/>
  <c r="J7" i="3" s="1"/>
  <c r="I6" i="3"/>
  <c r="J6" i="3" s="1"/>
  <c r="E6" i="3"/>
  <c r="H6" i="2" l="1"/>
  <c r="G6" i="2"/>
  <c r="E9" i="2" l="1"/>
  <c r="I9" i="2" s="1"/>
  <c r="J9" i="2" s="1"/>
  <c r="E7" i="2"/>
  <c r="E6" i="2"/>
  <c r="I7" i="2"/>
  <c r="J7" i="2" s="1"/>
  <c r="I6" i="2"/>
  <c r="J6" i="2" s="1"/>
  <c r="H12" i="1" l="1"/>
  <c r="H14" i="1"/>
  <c r="H13" i="1"/>
  <c r="H11" i="1"/>
  <c r="H10" i="1"/>
  <c r="H15" i="1"/>
  <c r="H9" i="1"/>
  <c r="H8" i="1"/>
  <c r="H7" i="1"/>
  <c r="H6" i="1"/>
  <c r="J9" i="1" l="1"/>
  <c r="I6" i="1"/>
  <c r="J6" i="1" s="1"/>
  <c r="I7" i="1"/>
  <c r="J7" i="1" s="1"/>
  <c r="I9" i="1"/>
  <c r="G15" i="1"/>
  <c r="E6" i="1"/>
  <c r="E7" i="1"/>
  <c r="E9" i="1"/>
</calcChain>
</file>

<file path=xl/sharedStrings.xml><?xml version="1.0" encoding="utf-8"?>
<sst xmlns="http://schemas.openxmlformats.org/spreadsheetml/2006/main" count="530" uniqueCount="49">
  <si>
    <t>№ п/п</t>
  </si>
  <si>
    <t>Наименование зоны входа</t>
  </si>
  <si>
    <t>Наименование магистрального трубопровода</t>
  </si>
  <si>
    <t>Точка входа</t>
  </si>
  <si>
    <t>1-31 января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</si>
  <si>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</si>
  <si>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</si>
  <si>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</si>
  <si>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</si>
  <si>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</si>
  <si>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</si>
  <si>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</si>
  <si>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</si>
  <si>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</si>
  <si>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</si>
  <si>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</si>
  <si>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</si>
  <si>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</si>
  <si>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</si>
  <si>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</si>
  <si>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</si>
  <si>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</si>
  <si>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</si>
  <si>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</si>
  <si>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</si>
  <si>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</si>
  <si>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</si>
  <si>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</si>
  <si>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 xml:space="preserve">Приложение N 4
к приказу ФАС России
от 18.01.2019 N 38/19
Форма 2
</t>
  </si>
  <si>
    <t>ООО "Шелеховский теплоэнергетический комплекс" (Магазин)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</si>
  <si>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ЯНВАРЬ 2022 года                  </t>
  </si>
  <si>
    <t>1-28 февраля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</si>
  <si>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ФЕВРАЛЬ 2022 года                  </t>
  </si>
  <si>
    <t>1-31 Марта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</si>
  <si>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МАРТ 2022 года                  </t>
  </si>
  <si>
    <t>1-30 Апреля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</si>
  <si>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АПРЕЛЬ 2022 года                  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</si>
  <si>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МАЙ 2022 года                  </t>
  </si>
  <si>
    <t>1-31 Мая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</si>
  <si>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ИЮНЬ 2022 года                  </t>
  </si>
  <si>
    <t>1-30 Июня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</si>
  <si>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ИЮЛЬ 2022 года                  </t>
  </si>
  <si>
    <t>1-31 Июля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</si>
  <si>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АВГУСТ 2022 года                  </t>
  </si>
  <si>
    <t>1-31 Августа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</si>
  <si>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СЕНТЯБРЬ 2022 года                  </t>
  </si>
  <si>
    <t>1-30 Сентябрь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</si>
  <si>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за ОКТЯБРЬ 2022 года                  </t>
  </si>
  <si>
    <t>1-31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</si>
</sst>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25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6" fontId="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44;&#1086;&#1082;&#1091;&#1084;&#1077;&#1085;&#1090;&#1099;\&#1054;&#1087;&#1077;&#1088;&#1072;&#1090;&#1080;&#1074;&#1085;&#1099;&#1081;%20&#1091;&#1095;&#1077;&#1090;\Private\2022\&#1050;&#1086;&#1084;&#1089;&#1086;&#1084;&#1086;&#1083;&#1100;&#1089;&#1082;\2022%20&#1088;&#1072;&#1081;&#1086;&#1085;-&#1043;&#1040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44;&#1086;&#1082;&#1091;&#1084;&#1077;&#1085;&#1090;&#1099;\&#1054;&#1087;&#1077;&#1088;&#1072;&#1090;&#1080;&#1074;&#1085;&#1099;&#1081;%20&#1091;&#1095;&#1077;&#1090;\Private\2022\&#1050;&#1086;&#1084;&#1073;&#1099;&#1090;%20&#1061;&#1072;&#1073;.%20&#1082;&#1088;&#1072;&#1081;\&#1050;&#1086;&#1084;&#1073;&#1099;&#1090;%20&#1061;&#1072;&#1073;&#1072;&#1088;&#1086;&#1074;&#1089;&#1082;&#1080;&#1081;%20&#1082;&#1088;&#1072;&#1081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Итого 2022"/>
    </sheetNames>
    <sheetDataSet>
      <sheetData sheetId="0">
        <row r="5">
          <cell r="FI5">
            <v>13.365</v>
          </cell>
        </row>
        <row r="36">
          <cell r="FN36">
            <v>689.97699999999998</v>
          </cell>
          <cell r="FQ36">
            <v>1.3720000000000001</v>
          </cell>
          <cell r="GA36">
            <v>220.02100000000002</v>
          </cell>
          <cell r="GK36">
            <v>197.72599999999994</v>
          </cell>
          <cell r="GM36">
            <v>4.4949999999999983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FQ36">
            <v>0.7649999999999999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</sheetNames>
    <sheetDataSet>
      <sheetData sheetId="0">
        <row r="5">
          <cell r="I5">
            <v>3.39</v>
          </cell>
        </row>
        <row r="78">
          <cell r="J78">
            <v>1.601</v>
          </cell>
        </row>
        <row r="107">
          <cell r="J107">
            <v>0.72599999999999998</v>
          </cell>
        </row>
        <row r="148">
          <cell r="J148">
            <v>0.74199999999999999</v>
          </cell>
        </row>
        <row r="149">
          <cell r="J149">
            <v>0</v>
          </cell>
        </row>
        <row r="152">
          <cell r="J152">
            <v>1.7150000000000001</v>
          </cell>
        </row>
        <row r="153">
          <cell r="J153">
            <v>0.01</v>
          </cell>
        </row>
      </sheetData>
      <sheetData sheetId="1">
        <row r="5">
          <cell r="I5">
            <v>2.7709999999999999</v>
          </cell>
        </row>
      </sheetData>
      <sheetData sheetId="2">
        <row r="5">
          <cell r="I5">
            <v>3.14</v>
          </cell>
        </row>
      </sheetData>
      <sheetData sheetId="3">
        <row r="5">
          <cell r="I5">
            <v>2.8490000000000002</v>
          </cell>
        </row>
      </sheetData>
      <sheetData sheetId="4">
        <row r="5">
          <cell r="I5">
            <v>3.5089999999999999</v>
          </cell>
        </row>
      </sheetData>
      <sheetData sheetId="5">
        <row r="5">
          <cell r="I5">
            <v>3.218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70" zoomScaleNormal="70" zoomScalePageLayoutView="140" workbookViewId="0">
      <pane ySplit="5" topLeftCell="A8" activePane="bottomLeft" state="frozen"/>
      <selection pane="bottomLeft" activeCell="H9" sqref="H9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30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ht="15.75" thickBot="1" x14ac:dyDescent="0.3">
      <c r="A3" s="116" t="s">
        <v>4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10</v>
      </c>
      <c r="F4" s="5" t="s">
        <v>15</v>
      </c>
      <c r="G4" s="5" t="s">
        <v>11</v>
      </c>
      <c r="H4" s="2" t="s">
        <v>12</v>
      </c>
      <c r="I4" s="3" t="s">
        <v>13</v>
      </c>
      <c r="J4" s="3" t="s">
        <v>14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16</v>
      </c>
      <c r="C6" s="16" t="s">
        <v>16</v>
      </c>
      <c r="D6" s="16" t="s">
        <v>7</v>
      </c>
      <c r="E6" s="5">
        <f>1.5/1000*24*31</f>
        <v>1.1160000000000001</v>
      </c>
      <c r="F6" s="16" t="s">
        <v>19</v>
      </c>
      <c r="G6" s="19">
        <v>0.24307500000000001</v>
      </c>
      <c r="H6" s="19">
        <f>[1]Лист1!$GA$36/1000</f>
        <v>0.22002100000000002</v>
      </c>
      <c r="I6" s="19">
        <f>E6</f>
        <v>1.1160000000000001</v>
      </c>
      <c r="J6" s="20">
        <f>I6-H6</f>
        <v>0.89597900000000008</v>
      </c>
    </row>
    <row r="7" spans="1:11" ht="88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12">
        <f>3/1000*24*31</f>
        <v>2.2320000000000002</v>
      </c>
      <c r="F7" s="18" t="s">
        <v>20</v>
      </c>
      <c r="G7" s="27">
        <v>0.75621000000000005</v>
      </c>
      <c r="H7" s="21">
        <f>[1]Лист1!$FN$36/1000</f>
        <v>0.68997699999999995</v>
      </c>
      <c r="I7" s="104">
        <f>E7</f>
        <v>2.2320000000000002</v>
      </c>
      <c r="J7" s="106">
        <f>I7-H7-H8</f>
        <v>1.5406510000000004</v>
      </c>
    </row>
    <row r="8" spans="1:11" ht="63" customHeight="1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13">
        <v>2.2320000000000002</v>
      </c>
      <c r="F8" s="9" t="s">
        <v>21</v>
      </c>
      <c r="G8" s="30">
        <v>1.1610000000000001E-3</v>
      </c>
      <c r="H8" s="22">
        <f>[1]Лист1!$FQ$36/1000</f>
        <v>1.3720000000000002E-3</v>
      </c>
      <c r="I8" s="105"/>
      <c r="J8" s="107"/>
    </row>
    <row r="9" spans="1:11" ht="63" customHeight="1" x14ac:dyDescent="0.25">
      <c r="A9" s="17">
        <v>4</v>
      </c>
      <c r="B9" s="18" t="s">
        <v>17</v>
      </c>
      <c r="C9" s="18" t="s">
        <v>6</v>
      </c>
      <c r="D9" s="18" t="s">
        <v>9</v>
      </c>
      <c r="E9" s="112">
        <f>15/1000*24*31</f>
        <v>11.16</v>
      </c>
      <c r="F9" s="18" t="s">
        <v>22</v>
      </c>
      <c r="G9" s="28">
        <v>0.2</v>
      </c>
      <c r="H9" s="21">
        <f>[1]Лист1!$GK$36/1000</f>
        <v>0.19772599999999993</v>
      </c>
      <c r="I9" s="108">
        <f>E9</f>
        <v>11.16</v>
      </c>
      <c r="J9" s="106">
        <f>I9-H9-H10-H11-H12-H13-H14-H15</f>
        <v>10.952984999999998</v>
      </c>
    </row>
    <row r="10" spans="1:11" ht="63" customHeight="1" x14ac:dyDescent="0.25">
      <c r="A10" s="24">
        <v>5</v>
      </c>
      <c r="B10" s="25" t="s">
        <v>17</v>
      </c>
      <c r="C10" s="25" t="s">
        <v>6</v>
      </c>
      <c r="D10" s="25" t="s">
        <v>9</v>
      </c>
      <c r="E10" s="114"/>
      <c r="F10" s="25" t="s">
        <v>29</v>
      </c>
      <c r="G10" s="29">
        <v>1.537E-3</v>
      </c>
      <c r="H10" s="26">
        <f>[2]Лист1!$J$148/1000</f>
        <v>7.4200000000000004E-4</v>
      </c>
      <c r="I10" s="109"/>
      <c r="J10" s="115"/>
    </row>
    <row r="11" spans="1:11" ht="63" customHeight="1" x14ac:dyDescent="0.25">
      <c r="A11" s="7">
        <v>6</v>
      </c>
      <c r="B11" s="12" t="s">
        <v>17</v>
      </c>
      <c r="C11" s="12" t="s">
        <v>6</v>
      </c>
      <c r="D11" s="12" t="s">
        <v>9</v>
      </c>
      <c r="E11" s="114"/>
      <c r="F11" s="12" t="s">
        <v>23</v>
      </c>
      <c r="G11" s="29">
        <v>1.1559999999999999E-3</v>
      </c>
      <c r="H11" s="23">
        <f>[2]Лист1!$J$78/1000</f>
        <v>1.601E-3</v>
      </c>
      <c r="I11" s="110"/>
      <c r="J11" s="115"/>
    </row>
    <row r="12" spans="1:11" ht="63" customHeight="1" x14ac:dyDescent="0.25">
      <c r="A12" s="7">
        <v>7</v>
      </c>
      <c r="B12" s="12" t="s">
        <v>17</v>
      </c>
      <c r="C12" s="12" t="s">
        <v>6</v>
      </c>
      <c r="D12" s="12" t="s">
        <v>9</v>
      </c>
      <c r="E12" s="114"/>
      <c r="F12" s="12" t="s">
        <v>24</v>
      </c>
      <c r="G12" s="29">
        <v>1.5560000000000001E-3</v>
      </c>
      <c r="H12" s="23">
        <f>([2]Лист1!$J$152+[2]Лист1!$J$153)/1000</f>
        <v>1.7250000000000002E-3</v>
      </c>
      <c r="I12" s="110"/>
      <c r="J12" s="115"/>
    </row>
    <row r="13" spans="1:11" ht="63" customHeight="1" x14ac:dyDescent="0.25">
      <c r="A13" s="7">
        <v>8</v>
      </c>
      <c r="B13" s="12" t="s">
        <v>17</v>
      </c>
      <c r="C13" s="12" t="s">
        <v>6</v>
      </c>
      <c r="D13" s="12" t="s">
        <v>9</v>
      </c>
      <c r="E13" s="114"/>
      <c r="F13" s="12" t="s">
        <v>25</v>
      </c>
      <c r="G13" s="29">
        <v>1.5200000000000001E-3</v>
      </c>
      <c r="H13" s="23">
        <f>[2]Лист1!$J$149</f>
        <v>0</v>
      </c>
      <c r="I13" s="110"/>
      <c r="J13" s="115"/>
    </row>
    <row r="14" spans="1:11" ht="63" customHeight="1" x14ac:dyDescent="0.25">
      <c r="A14" s="7">
        <v>9</v>
      </c>
      <c r="B14" s="12" t="s">
        <v>17</v>
      </c>
      <c r="C14" s="12" t="s">
        <v>6</v>
      </c>
      <c r="D14" s="12" t="s">
        <v>9</v>
      </c>
      <c r="E14" s="114"/>
      <c r="F14" s="12" t="s">
        <v>26</v>
      </c>
      <c r="G14" s="29">
        <v>6.8100000000000007E-4</v>
      </c>
      <c r="H14" s="23">
        <f>[2]Лист1!$J$107/1000</f>
        <v>7.2599999999999997E-4</v>
      </c>
      <c r="I14" s="110"/>
      <c r="J14" s="115"/>
    </row>
    <row r="15" spans="1:11" ht="102.75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13"/>
      <c r="F15" s="9" t="s">
        <v>27</v>
      </c>
      <c r="G15" s="30">
        <f>H15</f>
        <v>4.4949999999999981E-3</v>
      </c>
      <c r="H15" s="22">
        <f>[1]Лист1!$GM$36/1000</f>
        <v>4.4949999999999981E-3</v>
      </c>
      <c r="I15" s="111"/>
      <c r="J15" s="107"/>
    </row>
  </sheetData>
  <mergeCells count="9">
    <mergeCell ref="A2:J2"/>
    <mergeCell ref="I1:J1"/>
    <mergeCell ref="I7:I8"/>
    <mergeCell ref="J7:J8"/>
    <mergeCell ref="I9:I15"/>
    <mergeCell ref="E7:E8"/>
    <mergeCell ref="E9:E15"/>
    <mergeCell ref="J9:J15"/>
    <mergeCell ref="A3:B3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70" zoomScaleNormal="70" workbookViewId="0">
      <selection activeCell="P14" sqref="P14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48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89">
        <v>2</v>
      </c>
      <c r="C5" s="89">
        <v>3</v>
      </c>
      <c r="D5" s="89">
        <v>4</v>
      </c>
      <c r="E5" s="89">
        <v>5</v>
      </c>
      <c r="F5" s="89">
        <v>6</v>
      </c>
      <c r="G5" s="89">
        <v>7</v>
      </c>
      <c r="H5" s="89">
        <v>8</v>
      </c>
      <c r="I5" s="89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85">
        <f>1.5/1000*24*31</f>
        <v>1.1160000000000001</v>
      </c>
      <c r="F6" s="51" t="s">
        <v>19</v>
      </c>
      <c r="G6" s="85">
        <f>157.5/1000</f>
        <v>0.1575</v>
      </c>
      <c r="H6" s="97">
        <f>133.17/1000</f>
        <v>0.13316999999999998</v>
      </c>
      <c r="I6" s="85">
        <f>E6</f>
        <v>1.1160000000000001</v>
      </c>
      <c r="J6" s="86">
        <f>I6-H6</f>
        <v>0.98283000000000009</v>
      </c>
    </row>
    <row r="7" spans="1:11" ht="103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04">
        <f>3/1000*24*31</f>
        <v>2.2320000000000002</v>
      </c>
      <c r="F7" s="18" t="s">
        <v>20</v>
      </c>
      <c r="G7" s="87">
        <f>390/1000</f>
        <v>0.39</v>
      </c>
      <c r="H7" s="98">
        <f>437.751/1000</f>
        <v>0.437751</v>
      </c>
      <c r="I7" s="104">
        <f>E7</f>
        <v>2.2320000000000002</v>
      </c>
      <c r="J7" s="106">
        <f>I7-H7-H8</f>
        <v>1.7934830000000002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05">
        <v>2.2320000000000002</v>
      </c>
      <c r="F8" s="9" t="s">
        <v>21</v>
      </c>
      <c r="G8" s="88">
        <f>0.766/1000</f>
        <v>7.6599999999999997E-4</v>
      </c>
      <c r="H8" s="99">
        <f>0.766/1000</f>
        <v>7.6599999999999997E-4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8">
        <f>15/1000*24*31</f>
        <v>11.16</v>
      </c>
      <c r="F9" s="25" t="s">
        <v>22</v>
      </c>
      <c r="G9" s="66">
        <f>80/1000</f>
        <v>0.08</v>
      </c>
      <c r="H9" s="66">
        <f>78.92/1000</f>
        <v>7.8920000000000004E-2</v>
      </c>
      <c r="I9" s="109">
        <f>E9</f>
        <v>11.16</v>
      </c>
      <c r="J9" s="115">
        <f>I9-H9-H10-H11-H12-H13-H14-H15</f>
        <v>11.076399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8"/>
      <c r="F10" s="25" t="s">
        <v>29</v>
      </c>
      <c r="G10" s="67">
        <v>0</v>
      </c>
      <c r="H10" s="67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8"/>
      <c r="F11" s="12" t="s">
        <v>23</v>
      </c>
      <c r="G11" s="68">
        <f>0.2/1000</f>
        <v>2.0000000000000001E-4</v>
      </c>
      <c r="H11" s="68">
        <f>0.239/1000</f>
        <v>2.3899999999999998E-4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8"/>
      <c r="F12" s="12" t="s">
        <v>24</v>
      </c>
      <c r="G12" s="68">
        <f>0.9/1000</f>
        <v>8.9999999999999998E-4</v>
      </c>
      <c r="H12" s="68">
        <f>1.149/1000</f>
        <v>1.1490000000000001E-3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8"/>
      <c r="F13" s="12" t="s">
        <v>25</v>
      </c>
      <c r="G13" s="68">
        <v>0</v>
      </c>
      <c r="H13" s="68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8"/>
      <c r="F14" s="12" t="s">
        <v>26</v>
      </c>
      <c r="G14" s="68">
        <f>0.3/1000</f>
        <v>2.9999999999999997E-4</v>
      </c>
      <c r="H14" s="68">
        <f>0.349/1000</f>
        <v>3.4899999999999997E-4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05"/>
      <c r="F15" s="9" t="s">
        <v>27</v>
      </c>
      <c r="G15" s="69">
        <f>2.944/1000</f>
        <v>2.944E-3</v>
      </c>
      <c r="H15" s="69">
        <f>2.944/1000</f>
        <v>2.944E-3</v>
      </c>
      <c r="I15" s="111"/>
      <c r="J15" s="107"/>
    </row>
    <row r="16" spans="1:11" x14ac:dyDescent="0.25">
      <c r="H16" s="119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zoomScalePageLayoutView="140" workbookViewId="0">
      <pane ySplit="5" topLeftCell="A9" activePane="bottomLeft" state="frozen"/>
      <selection pane="bottomLeft" activeCell="G14" sqref="G14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32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ht="15.75" thickBot="1" x14ac:dyDescent="0.3">
      <c r="A3" s="116" t="s">
        <v>31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10</v>
      </c>
      <c r="F4" s="5" t="s">
        <v>15</v>
      </c>
      <c r="G4" s="5" t="s">
        <v>11</v>
      </c>
      <c r="H4" s="2" t="s">
        <v>12</v>
      </c>
      <c r="I4" s="3" t="s">
        <v>13</v>
      </c>
      <c r="J4" s="3" t="s">
        <v>14</v>
      </c>
    </row>
    <row r="5" spans="1:11" ht="15.75" thickBot="1" x14ac:dyDescent="0.3">
      <c r="A5" s="14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16</v>
      </c>
      <c r="C6" s="16" t="s">
        <v>16</v>
      </c>
      <c r="D6" s="16" t="s">
        <v>7</v>
      </c>
      <c r="E6" s="5">
        <f>1.5/1000*24*28</f>
        <v>1.008</v>
      </c>
      <c r="F6" s="16" t="s">
        <v>19</v>
      </c>
      <c r="G6" s="32">
        <f>203.5/1000</f>
        <v>0.20349999999999999</v>
      </c>
      <c r="H6" s="32">
        <f>188.09/1000</f>
        <v>0.18809000000000001</v>
      </c>
      <c r="I6" s="19">
        <f>E6</f>
        <v>1.008</v>
      </c>
      <c r="J6" s="20">
        <f>I6-H6</f>
        <v>0.81991000000000003</v>
      </c>
    </row>
    <row r="7" spans="1:11" ht="88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12">
        <f>3/1000*24*28</f>
        <v>2.016</v>
      </c>
      <c r="F7" s="18" t="s">
        <v>20</v>
      </c>
      <c r="G7" s="32">
        <v>0.58510000000000006</v>
      </c>
      <c r="H7" s="32">
        <v>0.525177</v>
      </c>
      <c r="I7" s="104">
        <f>E7</f>
        <v>2.016</v>
      </c>
      <c r="J7" s="106">
        <f>I7-H7-H8</f>
        <v>1.4897020000000001</v>
      </c>
    </row>
    <row r="8" spans="1:11" ht="63" customHeight="1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13">
        <v>2.2320000000000002</v>
      </c>
      <c r="F8" s="9" t="s">
        <v>21</v>
      </c>
      <c r="G8" s="32">
        <v>1.121E-3</v>
      </c>
      <c r="H8" s="32">
        <v>1.121E-3</v>
      </c>
      <c r="I8" s="105"/>
      <c r="J8" s="107"/>
    </row>
    <row r="9" spans="1:11" ht="63" customHeight="1" x14ac:dyDescent="0.25">
      <c r="A9" s="17">
        <v>4</v>
      </c>
      <c r="B9" s="18" t="s">
        <v>17</v>
      </c>
      <c r="C9" s="18" t="s">
        <v>6</v>
      </c>
      <c r="D9" s="18" t="s">
        <v>9</v>
      </c>
      <c r="E9" s="112">
        <f>15/1000*24*28</f>
        <v>10.08</v>
      </c>
      <c r="F9" s="18" t="s">
        <v>22</v>
      </c>
      <c r="G9" s="32">
        <v>0.18</v>
      </c>
      <c r="H9" s="32">
        <v>0.15260799999999999</v>
      </c>
      <c r="I9" s="108">
        <f>E9</f>
        <v>10.08</v>
      </c>
      <c r="J9" s="106">
        <f>I9-H9-H10-H11-H12-H13-H14-H15</f>
        <v>9.918886999999998</v>
      </c>
    </row>
    <row r="10" spans="1:11" ht="63" customHeight="1" x14ac:dyDescent="0.25">
      <c r="A10" s="24">
        <v>5</v>
      </c>
      <c r="B10" s="25" t="s">
        <v>17</v>
      </c>
      <c r="C10" s="25" t="s">
        <v>6</v>
      </c>
      <c r="D10" s="25" t="s">
        <v>9</v>
      </c>
      <c r="E10" s="114"/>
      <c r="F10" s="25" t="s">
        <v>29</v>
      </c>
      <c r="G10" s="32">
        <v>1E-3</v>
      </c>
      <c r="H10" s="32">
        <v>4.95E-4</v>
      </c>
      <c r="I10" s="109"/>
      <c r="J10" s="115"/>
    </row>
    <row r="11" spans="1:11" ht="63" customHeight="1" x14ac:dyDescent="0.25">
      <c r="A11" s="7">
        <v>6</v>
      </c>
      <c r="B11" s="12" t="s">
        <v>17</v>
      </c>
      <c r="C11" s="12" t="s">
        <v>6</v>
      </c>
      <c r="D11" s="12" t="s">
        <v>9</v>
      </c>
      <c r="E11" s="114"/>
      <c r="F11" s="12" t="s">
        <v>23</v>
      </c>
      <c r="G11" s="32">
        <v>1.4E-3</v>
      </c>
      <c r="H11" s="32">
        <v>1.379E-3</v>
      </c>
      <c r="I11" s="110"/>
      <c r="J11" s="115"/>
    </row>
    <row r="12" spans="1:11" ht="63" customHeight="1" x14ac:dyDescent="0.25">
      <c r="A12" s="7">
        <v>7</v>
      </c>
      <c r="B12" s="12" t="s">
        <v>17</v>
      </c>
      <c r="C12" s="12" t="s">
        <v>6</v>
      </c>
      <c r="D12" s="12" t="s">
        <v>9</v>
      </c>
      <c r="E12" s="114"/>
      <c r="F12" s="12" t="s">
        <v>24</v>
      </c>
      <c r="G12" s="32">
        <v>1.9E-3</v>
      </c>
      <c r="H12" s="32">
        <v>1.7749999999999999E-3</v>
      </c>
      <c r="I12" s="110"/>
      <c r="J12" s="115"/>
    </row>
    <row r="13" spans="1:11" ht="63" customHeight="1" x14ac:dyDescent="0.25">
      <c r="A13" s="7">
        <v>8</v>
      </c>
      <c r="B13" s="12" t="s">
        <v>17</v>
      </c>
      <c r="C13" s="12" t="s">
        <v>6</v>
      </c>
      <c r="D13" s="12" t="s">
        <v>9</v>
      </c>
      <c r="E13" s="114"/>
      <c r="F13" s="12" t="s">
        <v>25</v>
      </c>
      <c r="G13" s="32">
        <v>0</v>
      </c>
      <c r="H13" s="32">
        <v>0</v>
      </c>
      <c r="I13" s="110"/>
      <c r="J13" s="115"/>
    </row>
    <row r="14" spans="1:11" ht="63" customHeight="1" x14ac:dyDescent="0.25">
      <c r="A14" s="7">
        <v>9</v>
      </c>
      <c r="B14" s="12" t="s">
        <v>17</v>
      </c>
      <c r="C14" s="12" t="s">
        <v>6</v>
      </c>
      <c r="D14" s="12" t="s">
        <v>9</v>
      </c>
      <c r="E14" s="114"/>
      <c r="F14" s="12" t="s">
        <v>26</v>
      </c>
      <c r="G14" s="32">
        <v>8.0000000000000004E-4</v>
      </c>
      <c r="H14" s="32">
        <v>7.6000000000000004E-4</v>
      </c>
      <c r="I14" s="110"/>
      <c r="J14" s="115"/>
    </row>
    <row r="15" spans="1:11" ht="102.75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13"/>
      <c r="F15" s="9" t="s">
        <v>27</v>
      </c>
      <c r="G15" s="32">
        <v>4.0959999999999998E-3</v>
      </c>
      <c r="H15" s="32">
        <v>4.0959999999999998E-3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workbookViewId="0">
      <selection activeCell="H10" sqref="H10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34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33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  <c r="I5" s="40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39">
        <f>1.5/1000*24*28</f>
        <v>1.008</v>
      </c>
      <c r="F6" s="51" t="s">
        <v>19</v>
      </c>
      <c r="G6" s="33">
        <v>0.21030000000000001</v>
      </c>
      <c r="H6" s="33">
        <v>0.18882400000000002</v>
      </c>
      <c r="I6" s="33">
        <f>E6</f>
        <v>1.008</v>
      </c>
      <c r="J6" s="34">
        <f>I6-H6</f>
        <v>0.81917600000000002</v>
      </c>
    </row>
    <row r="7" spans="1:11" ht="76.5" x14ac:dyDescent="0.25">
      <c r="A7" s="17">
        <v>2</v>
      </c>
      <c r="B7" s="18" t="s">
        <v>18</v>
      </c>
      <c r="C7" s="18" t="s">
        <v>5</v>
      </c>
      <c r="D7" s="18" t="s">
        <v>8</v>
      </c>
      <c r="E7" s="112">
        <f>3/1000*24*28</f>
        <v>2.016</v>
      </c>
      <c r="F7" s="18" t="s">
        <v>20</v>
      </c>
      <c r="G7" s="35">
        <v>0.4894</v>
      </c>
      <c r="H7" s="35">
        <v>0.49056900000000003</v>
      </c>
      <c r="I7" s="104">
        <f>E7</f>
        <v>2.016</v>
      </c>
      <c r="J7" s="106">
        <f>I7-H7-H8</f>
        <v>1.5245930000000001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13">
        <v>2.2320000000000002</v>
      </c>
      <c r="F8" s="9" t="s">
        <v>21</v>
      </c>
      <c r="G8" s="38">
        <v>8.3799999999999999E-4</v>
      </c>
      <c r="H8" s="38">
        <v>8.3799999999999999E-4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4">
        <f>15/1000*24*28</f>
        <v>10.08</v>
      </c>
      <c r="F9" s="25" t="s">
        <v>22</v>
      </c>
      <c r="G9" s="36">
        <v>0.14000000000000001</v>
      </c>
      <c r="H9" s="36">
        <v>0.13164099999999998</v>
      </c>
      <c r="I9" s="109">
        <f>E9</f>
        <v>10.08</v>
      </c>
      <c r="J9" s="115">
        <f>I9-H9-H10-H11-H12-H13-H14-H15</f>
        <v>9.9383660000000003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4"/>
      <c r="F10" s="25" t="s">
        <v>29</v>
      </c>
      <c r="G10" s="37">
        <v>6.9999999999999999E-4</v>
      </c>
      <c r="H10" s="37">
        <v>2.0000000000000001E-4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4"/>
      <c r="F11" s="12" t="s">
        <v>23</v>
      </c>
      <c r="G11" s="37">
        <v>1.1999999999999999E-3</v>
      </c>
      <c r="H11" s="37">
        <v>1.059E-3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4"/>
      <c r="F12" s="12" t="s">
        <v>24</v>
      </c>
      <c r="G12" s="37">
        <v>1.6999999999999999E-3</v>
      </c>
      <c r="H12" s="37">
        <v>1.2819999999999999E-3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4"/>
      <c r="F13" s="12" t="s">
        <v>25</v>
      </c>
      <c r="G13" s="37">
        <v>6.0499999999999996E-4</v>
      </c>
      <c r="H13" s="37">
        <v>3.5720000000000001E-3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4"/>
      <c r="F14" s="12" t="s">
        <v>26</v>
      </c>
      <c r="G14" s="37">
        <v>8.0000000000000004E-4</v>
      </c>
      <c r="H14" s="37">
        <v>5.3899999999999998E-4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13"/>
      <c r="F15" s="9" t="s">
        <v>27</v>
      </c>
      <c r="G15" s="38">
        <v>3.3410000000000002E-3</v>
      </c>
      <c r="H15" s="38">
        <v>3.3410000000000002E-3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workbookViewId="0">
      <selection activeCell="G6" sqref="G6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35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49">
        <v>2</v>
      </c>
      <c r="C5" s="49">
        <v>3</v>
      </c>
      <c r="D5" s="49">
        <v>4</v>
      </c>
      <c r="E5" s="49">
        <v>5</v>
      </c>
      <c r="F5" s="49">
        <v>6</v>
      </c>
      <c r="G5" s="49">
        <v>7</v>
      </c>
      <c r="H5" s="49">
        <v>8</v>
      </c>
      <c r="I5" s="49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48">
        <f>1.5/1000*24*28</f>
        <v>1.008</v>
      </c>
      <c r="F6" s="51" t="s">
        <v>19</v>
      </c>
      <c r="G6" s="42">
        <v>0.1691</v>
      </c>
      <c r="H6" s="42">
        <v>0.16125700000000001</v>
      </c>
      <c r="I6" s="42">
        <f>E6</f>
        <v>1.008</v>
      </c>
      <c r="J6" s="43">
        <f>I6-H6</f>
        <v>0.84674300000000002</v>
      </c>
    </row>
    <row r="7" spans="1:11" ht="76.5" x14ac:dyDescent="0.25">
      <c r="A7" s="17">
        <v>2</v>
      </c>
      <c r="B7" s="18" t="s">
        <v>18</v>
      </c>
      <c r="C7" s="18" t="s">
        <v>5</v>
      </c>
      <c r="D7" s="18" t="s">
        <v>8</v>
      </c>
      <c r="E7" s="112">
        <f>3/1000*24*28</f>
        <v>2.016</v>
      </c>
      <c r="F7" s="18" t="s">
        <v>20</v>
      </c>
      <c r="G7" s="44">
        <v>0.4194</v>
      </c>
      <c r="H7" s="44">
        <v>0.44125500000000001</v>
      </c>
      <c r="I7" s="104">
        <f>E7</f>
        <v>2.016</v>
      </c>
      <c r="J7" s="106">
        <f>I7-H7-H8</f>
        <v>1.5739290000000001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13">
        <v>2.2320000000000002</v>
      </c>
      <c r="F8" s="9" t="s">
        <v>21</v>
      </c>
      <c r="G8" s="47">
        <v>8.1599999999999999E-4</v>
      </c>
      <c r="H8" s="47">
        <v>8.1599999999999999E-4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4">
        <f>15/1000*24*28</f>
        <v>10.08</v>
      </c>
      <c r="F9" s="25" t="s">
        <v>22</v>
      </c>
      <c r="G9" s="45">
        <v>0.09</v>
      </c>
      <c r="H9" s="45">
        <v>0.105181</v>
      </c>
      <c r="I9" s="109">
        <f>E9</f>
        <v>10.08</v>
      </c>
      <c r="J9" s="115">
        <f>I9-H9-H10-H11-H12-H13-H14-H15</f>
        <v>9.9689239999999995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4"/>
      <c r="F10" s="25" t="s">
        <v>29</v>
      </c>
      <c r="G10" s="60">
        <v>6.9999999999999999E-4</v>
      </c>
      <c r="H10" s="60">
        <v>6.5200000000000002E-4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4"/>
      <c r="F11" s="12" t="s">
        <v>23</v>
      </c>
      <c r="G11" s="46">
        <v>1.1999999999999999E-3</v>
      </c>
      <c r="H11" s="46">
        <v>5.0799999999999999E-4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4"/>
      <c r="F12" s="12" t="s">
        <v>24</v>
      </c>
      <c r="G12" s="46">
        <v>1.6999999999999999E-3</v>
      </c>
      <c r="H12" s="46">
        <v>9.2299999999999999E-4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4"/>
      <c r="F13" s="12" t="s">
        <v>25</v>
      </c>
      <c r="G13" s="46">
        <v>6.0499999999999996E-4</v>
      </c>
      <c r="H13" s="46">
        <v>4.6700000000000002E-4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4"/>
      <c r="F14" s="12" t="s">
        <v>26</v>
      </c>
      <c r="G14" s="46">
        <v>0</v>
      </c>
      <c r="H14" s="46">
        <v>0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13"/>
      <c r="F15" s="9" t="s">
        <v>27</v>
      </c>
      <c r="G15" s="47">
        <v>3.3450000000000003E-3</v>
      </c>
      <c r="H15" s="47">
        <v>3.3450000000000003E-3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workbookViewId="0">
      <selection activeCell="P6" sqref="P6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37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38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58">
        <f>1.5/1000*24*28</f>
        <v>1.008</v>
      </c>
      <c r="F6" s="51" t="s">
        <v>19</v>
      </c>
      <c r="G6" s="54">
        <v>0.1454</v>
      </c>
      <c r="H6" s="54">
        <v>0.15215999999999999</v>
      </c>
      <c r="I6" s="54">
        <f>E6</f>
        <v>1.008</v>
      </c>
      <c r="J6" s="55">
        <f>I6-H6</f>
        <v>0.85584000000000005</v>
      </c>
    </row>
    <row r="7" spans="1:11" ht="76.5" x14ac:dyDescent="0.25">
      <c r="A7" s="17">
        <v>2</v>
      </c>
      <c r="B7" s="18" t="s">
        <v>18</v>
      </c>
      <c r="C7" s="18" t="s">
        <v>5</v>
      </c>
      <c r="D7" s="18" t="s">
        <v>8</v>
      </c>
      <c r="E7" s="112">
        <f>3/1000*24*28</f>
        <v>2.016</v>
      </c>
      <c r="F7" s="18" t="s">
        <v>20</v>
      </c>
      <c r="G7" s="56">
        <v>0.38580000000000003</v>
      </c>
      <c r="H7" s="56">
        <v>0.384021</v>
      </c>
      <c r="I7" s="104">
        <f>E7</f>
        <v>2.016</v>
      </c>
      <c r="J7" s="106">
        <f>I7-H7-H8</f>
        <v>1.631273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13">
        <v>2.2320000000000002</v>
      </c>
      <c r="F8" s="9" t="s">
        <v>21</v>
      </c>
      <c r="G8" s="57">
        <v>7.0599999999999992E-4</v>
      </c>
      <c r="H8" s="57">
        <v>7.0599999999999992E-4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4">
        <f>15/1000*24*28</f>
        <v>10.08</v>
      </c>
      <c r="F9" s="25" t="s">
        <v>22</v>
      </c>
      <c r="G9" s="66">
        <v>1.6E-2</v>
      </c>
      <c r="H9" s="66">
        <v>3.6767000000000001E-2</v>
      </c>
      <c r="I9" s="109">
        <f>E9</f>
        <v>10.08</v>
      </c>
      <c r="J9" s="115">
        <f>I9-H9-H10-H11-H12-H13-H14-H15</f>
        <v>10.038234000000003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4"/>
      <c r="F10" s="25" t="s">
        <v>29</v>
      </c>
      <c r="G10" s="67">
        <v>0</v>
      </c>
      <c r="H10" s="67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4"/>
      <c r="F11" s="12" t="s">
        <v>23</v>
      </c>
      <c r="G11" s="68">
        <v>0</v>
      </c>
      <c r="H11" s="68">
        <v>4.2999999999999999E-4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4"/>
      <c r="F12" s="12" t="s">
        <v>24</v>
      </c>
      <c r="G12" s="68">
        <v>4.0000000000000002E-4</v>
      </c>
      <c r="H12" s="68">
        <v>6.7500000000000004E-4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4"/>
      <c r="F13" s="12" t="s">
        <v>25</v>
      </c>
      <c r="G13" s="68">
        <v>0</v>
      </c>
      <c r="H13" s="68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4"/>
      <c r="F14" s="12" t="s">
        <v>26</v>
      </c>
      <c r="G14" s="68">
        <v>0</v>
      </c>
      <c r="H14" s="68">
        <v>5.9599999999999996E-4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13"/>
      <c r="F15" s="9" t="s">
        <v>27</v>
      </c>
      <c r="G15" s="69">
        <v>3.2980000000000002E-3</v>
      </c>
      <c r="H15" s="69">
        <v>3.2980000000000002E-3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E6" sqref="E6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39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40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61">
        <f>1.5/1000*24*30</f>
        <v>1.08</v>
      </c>
      <c r="F6" s="51" t="s">
        <v>19</v>
      </c>
      <c r="G6" s="61">
        <f>100/1000</f>
        <v>0.1</v>
      </c>
      <c r="H6" s="61">
        <f>98.979/1000</f>
        <v>9.8978999999999998E-2</v>
      </c>
      <c r="I6" s="61">
        <f>E6</f>
        <v>1.08</v>
      </c>
      <c r="J6" s="62">
        <f>I6-H6</f>
        <v>0.98102100000000003</v>
      </c>
    </row>
    <row r="7" spans="1:11" ht="103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04">
        <f>3/1000*24*30</f>
        <v>2.16</v>
      </c>
      <c r="F7" s="18" t="s">
        <v>20</v>
      </c>
      <c r="G7" s="63">
        <f>214.1/1000</f>
        <v>0.21409999999999998</v>
      </c>
      <c r="H7" s="63">
        <f>234.31/1000</f>
        <v>0.23430999999999999</v>
      </c>
      <c r="I7" s="104">
        <f>E7</f>
        <v>2.16</v>
      </c>
      <c r="J7" s="106">
        <f>I7-H7-H8</f>
        <v>1.9248810000000001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05">
        <v>2.2320000000000002</v>
      </c>
      <c r="F8" s="9" t="s">
        <v>21</v>
      </c>
      <c r="G8" s="64">
        <v>8.0900000000000004E-4</v>
      </c>
      <c r="H8" s="64">
        <v>8.0900000000000004E-4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8">
        <f>15/1000*24*30</f>
        <v>10.799999999999999</v>
      </c>
      <c r="F9" s="25" t="s">
        <v>22</v>
      </c>
      <c r="G9" s="66">
        <v>0</v>
      </c>
      <c r="H9" s="66">
        <v>0</v>
      </c>
      <c r="I9" s="109">
        <f>E9</f>
        <v>10.799999999999999</v>
      </c>
      <c r="J9" s="115">
        <f>I9-H9-H10-H11-H12-H13-H14-H15</f>
        <v>10.798020999999999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8"/>
      <c r="F10" s="25" t="s">
        <v>29</v>
      </c>
      <c r="G10" s="67">
        <v>0</v>
      </c>
      <c r="H10" s="67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8"/>
      <c r="F11" s="12" t="s">
        <v>23</v>
      </c>
      <c r="G11" s="68">
        <v>0</v>
      </c>
      <c r="H11" s="68">
        <v>0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8"/>
      <c r="F12" s="12" t="s">
        <v>24</v>
      </c>
      <c r="G12" s="68">
        <v>0</v>
      </c>
      <c r="H12" s="68">
        <v>0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8"/>
      <c r="F13" s="12" t="s">
        <v>25</v>
      </c>
      <c r="G13" s="68">
        <v>0</v>
      </c>
      <c r="H13" s="68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8"/>
      <c r="F14" s="12" t="s">
        <v>26</v>
      </c>
      <c r="G14" s="68">
        <v>0</v>
      </c>
      <c r="H14" s="68">
        <f>0.025/1000</f>
        <v>2.5000000000000001E-5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05"/>
      <c r="F15" s="9" t="s">
        <v>27</v>
      </c>
      <c r="G15" s="69">
        <f>1.954/1000</f>
        <v>1.954E-3</v>
      </c>
      <c r="H15" s="69">
        <f>1.954/1000</f>
        <v>1.954E-3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sqref="A1:XFD1048576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41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42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70">
        <f>1.5/1000*24*30</f>
        <v>1.08</v>
      </c>
      <c r="F6" s="51" t="s">
        <v>19</v>
      </c>
      <c r="G6" s="70">
        <v>9.01E-2</v>
      </c>
      <c r="H6" s="70">
        <v>7.2840000000000002E-2</v>
      </c>
      <c r="I6" s="70">
        <f>E6</f>
        <v>1.08</v>
      </c>
      <c r="J6" s="71">
        <f>I6-H6</f>
        <v>1.0071600000000001</v>
      </c>
    </row>
    <row r="7" spans="1:11" ht="103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04">
        <f>3/1000*24*30</f>
        <v>2.16</v>
      </c>
      <c r="F7" s="18" t="s">
        <v>20</v>
      </c>
      <c r="G7" s="72">
        <v>0.22340000000000002</v>
      </c>
      <c r="H7" s="72">
        <v>0.235351</v>
      </c>
      <c r="I7" s="104">
        <f>E7</f>
        <v>2.16</v>
      </c>
      <c r="J7" s="106">
        <f>I7-H7-H8</f>
        <v>1.92384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05">
        <v>2.2320000000000002</v>
      </c>
      <c r="F8" s="9" t="s">
        <v>21</v>
      </c>
      <c r="G8" s="73">
        <v>8.0900000000000004E-4</v>
      </c>
      <c r="H8" s="73">
        <v>8.0900000000000004E-4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8">
        <f>15/1000*24*30</f>
        <v>10.799999999999999</v>
      </c>
      <c r="F9" s="25" t="s">
        <v>22</v>
      </c>
      <c r="G9" s="66">
        <v>0</v>
      </c>
      <c r="H9" s="66">
        <v>0</v>
      </c>
      <c r="I9" s="109">
        <f>E9</f>
        <v>10.799999999999999</v>
      </c>
      <c r="J9" s="115">
        <f>I9-H9-H10-H11-H12-H13-H14-H15</f>
        <v>10.798592999999999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8"/>
      <c r="F10" s="25" t="s">
        <v>29</v>
      </c>
      <c r="G10" s="67">
        <v>0</v>
      </c>
      <c r="H10" s="67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8"/>
      <c r="F11" s="12" t="s">
        <v>23</v>
      </c>
      <c r="G11" s="68">
        <v>0</v>
      </c>
      <c r="H11" s="68">
        <v>0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8"/>
      <c r="F12" s="12" t="s">
        <v>24</v>
      </c>
      <c r="G12" s="68">
        <v>0</v>
      </c>
      <c r="H12" s="68">
        <v>0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8"/>
      <c r="F13" s="12" t="s">
        <v>25</v>
      </c>
      <c r="G13" s="68">
        <v>0</v>
      </c>
      <c r="H13" s="68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8"/>
      <c r="F14" s="12" t="s">
        <v>26</v>
      </c>
      <c r="G14" s="68">
        <v>0</v>
      </c>
      <c r="H14" s="68">
        <f>0.025/1000</f>
        <v>2.5000000000000001E-5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05"/>
      <c r="F15" s="9" t="s">
        <v>27</v>
      </c>
      <c r="G15" s="69">
        <v>1.382E-3</v>
      </c>
      <c r="H15" s="69">
        <v>1.382E-3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4" workbookViewId="0">
      <selection activeCell="O6" sqref="O6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44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79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  <c r="H5" s="79">
        <v>8</v>
      </c>
      <c r="I5" s="79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75">
        <f>1.5/1000*24*31</f>
        <v>1.1160000000000001</v>
      </c>
      <c r="F6" s="51" t="s">
        <v>19</v>
      </c>
      <c r="G6" s="75">
        <v>9.2799999999999994E-2</v>
      </c>
      <c r="H6" s="75">
        <v>8.8644000000000001E-2</v>
      </c>
      <c r="I6" s="75">
        <f>E6</f>
        <v>1.1160000000000001</v>
      </c>
      <c r="J6" s="76">
        <f>I6-H6</f>
        <v>1.0273560000000002</v>
      </c>
    </row>
    <row r="7" spans="1:11" ht="103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04">
        <f>3/1000*24*31</f>
        <v>2.2320000000000002</v>
      </c>
      <c r="F7" s="18" t="s">
        <v>20</v>
      </c>
      <c r="G7" s="77">
        <v>0.24840000000000001</v>
      </c>
      <c r="H7" s="77">
        <v>0.244389</v>
      </c>
      <c r="I7" s="104">
        <f>E7</f>
        <v>2.2320000000000002</v>
      </c>
      <c r="J7" s="106">
        <f>I7-H7-H8</f>
        <v>1.9867950000000003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05">
        <v>2.2320000000000002</v>
      </c>
      <c r="F8" s="9" t="s">
        <v>21</v>
      </c>
      <c r="G8" s="78">
        <v>8.1599999999999999E-4</v>
      </c>
      <c r="H8" s="78">
        <v>8.1599999999999999E-4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8">
        <f>15/1000*24*31</f>
        <v>11.16</v>
      </c>
      <c r="F9" s="25" t="s">
        <v>22</v>
      </c>
      <c r="G9" s="66">
        <v>0</v>
      </c>
      <c r="H9" s="66">
        <v>0</v>
      </c>
      <c r="I9" s="109">
        <f>E9</f>
        <v>11.16</v>
      </c>
      <c r="J9" s="115">
        <f>I9-H9-H10-H11-H12-H13-H14-H15</f>
        <v>11.158488999999999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8"/>
      <c r="F10" s="25" t="s">
        <v>29</v>
      </c>
      <c r="G10" s="67">
        <v>0</v>
      </c>
      <c r="H10" s="67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8"/>
      <c r="F11" s="12" t="s">
        <v>23</v>
      </c>
      <c r="G11" s="68">
        <v>0</v>
      </c>
      <c r="H11" s="68">
        <v>0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8"/>
      <c r="F12" s="12" t="s">
        <v>24</v>
      </c>
      <c r="G12" s="68">
        <v>0</v>
      </c>
      <c r="H12" s="68">
        <v>0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8"/>
      <c r="F13" s="12" t="s">
        <v>25</v>
      </c>
      <c r="G13" s="68">
        <v>0</v>
      </c>
      <c r="H13" s="68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8"/>
      <c r="F14" s="12" t="s">
        <v>26</v>
      </c>
      <c r="G14" s="68">
        <v>0</v>
      </c>
      <c r="H14" s="68">
        <f>0.025/1000</f>
        <v>2.5000000000000001E-5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05"/>
      <c r="F15" s="9" t="s">
        <v>27</v>
      </c>
      <c r="G15" s="69">
        <v>1.4859999999999999E-3</v>
      </c>
      <c r="H15" s="69">
        <v>1.4859999999999999E-3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N1" sqref="N1"/>
    </sheetView>
  </sheetViews>
  <sheetFormatPr defaultRowHeight="15" x14ac:dyDescent="0.25"/>
  <cols>
    <col min="1" max="3" width="14.7109375" style="1" customWidth="1"/>
    <col min="4" max="4" width="20.28515625" style="1" customWidth="1"/>
    <col min="5" max="7" width="14.7109375" style="1" customWidth="1"/>
    <col min="8" max="8" width="17.7109375" style="1" customWidth="1"/>
    <col min="9" max="9" width="18.140625" style="1" customWidth="1"/>
    <col min="10" max="10" width="17.7109375" style="1" customWidth="1"/>
    <col min="11" max="16384" width="9.140625" style="1"/>
  </cols>
  <sheetData>
    <row r="1" spans="1:11" ht="63" customHeight="1" thickBot="1" x14ac:dyDescent="0.3">
      <c r="I1" s="103" t="s">
        <v>28</v>
      </c>
      <c r="J1" s="103"/>
    </row>
    <row r="2" spans="1:11" ht="85.5" customHeight="1" x14ac:dyDescent="0.25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1" x14ac:dyDescent="0.25">
      <c r="A3" s="116" t="s">
        <v>46</v>
      </c>
      <c r="B3" s="117"/>
      <c r="C3" s="10"/>
      <c r="D3" s="10"/>
      <c r="E3" s="10"/>
      <c r="F3" s="10"/>
      <c r="G3" s="10"/>
      <c r="H3" s="10"/>
      <c r="I3" s="10"/>
      <c r="J3" s="11"/>
    </row>
    <row r="4" spans="1:11" ht="111" customHeight="1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10</v>
      </c>
      <c r="F4" s="52" t="s">
        <v>15</v>
      </c>
      <c r="G4" s="52" t="s">
        <v>11</v>
      </c>
      <c r="H4" s="53" t="s">
        <v>12</v>
      </c>
      <c r="I4" s="53" t="s">
        <v>13</v>
      </c>
      <c r="J4" s="53" t="s">
        <v>14</v>
      </c>
    </row>
    <row r="5" spans="1:11" ht="15.75" thickBot="1" x14ac:dyDescent="0.3">
      <c r="A5" s="14">
        <v>1</v>
      </c>
      <c r="B5" s="84">
        <v>2</v>
      </c>
      <c r="C5" s="84">
        <v>3</v>
      </c>
      <c r="D5" s="84">
        <v>4</v>
      </c>
      <c r="E5" s="84">
        <v>5</v>
      </c>
      <c r="F5" s="84">
        <v>6</v>
      </c>
      <c r="G5" s="84">
        <v>7</v>
      </c>
      <c r="H5" s="84">
        <v>8</v>
      </c>
      <c r="I5" s="84">
        <v>9</v>
      </c>
      <c r="J5" s="15">
        <v>10</v>
      </c>
      <c r="K5" s="6"/>
    </row>
    <row r="6" spans="1:11" ht="64.5" thickBot="1" x14ac:dyDescent="0.3">
      <c r="A6" s="50">
        <v>1</v>
      </c>
      <c r="B6" s="51" t="s">
        <v>16</v>
      </c>
      <c r="C6" s="51" t="s">
        <v>16</v>
      </c>
      <c r="D6" s="51" t="s">
        <v>7</v>
      </c>
      <c r="E6" s="80">
        <f>1.5/1000*24*30</f>
        <v>1.08</v>
      </c>
      <c r="F6" s="51" t="s">
        <v>19</v>
      </c>
      <c r="G6" s="80">
        <f>152.4/1000</f>
        <v>0.15240000000000001</v>
      </c>
      <c r="H6" s="90">
        <f>132.091/1000</f>
        <v>0.13209100000000001</v>
      </c>
      <c r="I6" s="80">
        <f>E6</f>
        <v>1.08</v>
      </c>
      <c r="J6" s="81">
        <f>I6-H6</f>
        <v>0.94790900000000011</v>
      </c>
    </row>
    <row r="7" spans="1:11" ht="103.5" customHeight="1" x14ac:dyDescent="0.25">
      <c r="A7" s="17">
        <v>2</v>
      </c>
      <c r="B7" s="18" t="s">
        <v>18</v>
      </c>
      <c r="C7" s="18" t="s">
        <v>5</v>
      </c>
      <c r="D7" s="18" t="s">
        <v>8</v>
      </c>
      <c r="E7" s="104">
        <f>3/1000*24*30</f>
        <v>2.16</v>
      </c>
      <c r="F7" s="18" t="s">
        <v>20</v>
      </c>
      <c r="G7" s="82">
        <f>329.3/1000</f>
        <v>0.32930000000000004</v>
      </c>
      <c r="H7" s="91">
        <f>341.274/1000</f>
        <v>0.34127400000000002</v>
      </c>
      <c r="I7" s="104">
        <f>E7</f>
        <v>2.16</v>
      </c>
      <c r="J7" s="106">
        <f>I7-H7-H8</f>
        <v>1.8187260000000001</v>
      </c>
    </row>
    <row r="8" spans="1:11" ht="64.5" thickBot="1" x14ac:dyDescent="0.3">
      <c r="A8" s="8">
        <v>3</v>
      </c>
      <c r="B8" s="9" t="s">
        <v>18</v>
      </c>
      <c r="C8" s="9" t="s">
        <v>5</v>
      </c>
      <c r="D8" s="9" t="s">
        <v>8</v>
      </c>
      <c r="E8" s="105">
        <v>2.2320000000000002</v>
      </c>
      <c r="F8" s="9" t="s">
        <v>21</v>
      </c>
      <c r="G8" s="83">
        <v>0</v>
      </c>
      <c r="H8" s="92">
        <v>0</v>
      </c>
      <c r="I8" s="105"/>
      <c r="J8" s="107"/>
    </row>
    <row r="9" spans="1:11" ht="89.25" x14ac:dyDescent="0.25">
      <c r="A9" s="24">
        <v>4</v>
      </c>
      <c r="B9" s="25" t="s">
        <v>17</v>
      </c>
      <c r="C9" s="25" t="s">
        <v>6</v>
      </c>
      <c r="D9" s="25" t="s">
        <v>9</v>
      </c>
      <c r="E9" s="118">
        <f>15/1000*24*30</f>
        <v>10.799999999999999</v>
      </c>
      <c r="F9" s="25" t="s">
        <v>22</v>
      </c>
      <c r="G9" s="66">
        <f>5/1000</f>
        <v>5.0000000000000001E-3</v>
      </c>
      <c r="H9" s="93">
        <v>0</v>
      </c>
      <c r="I9" s="109">
        <f>E9</f>
        <v>10.799999999999999</v>
      </c>
      <c r="J9" s="115">
        <f>I9-H9-H10-H11-H12-H13-H14-H15</f>
        <v>10.798208999999998</v>
      </c>
    </row>
    <row r="10" spans="1:11" ht="89.25" x14ac:dyDescent="0.25">
      <c r="A10" s="24">
        <v>5</v>
      </c>
      <c r="B10" s="25" t="s">
        <v>17</v>
      </c>
      <c r="C10" s="25" t="s">
        <v>6</v>
      </c>
      <c r="D10" s="25" t="s">
        <v>9</v>
      </c>
      <c r="E10" s="118"/>
      <c r="F10" s="25" t="s">
        <v>29</v>
      </c>
      <c r="G10" s="67">
        <v>0</v>
      </c>
      <c r="H10" s="94">
        <v>0</v>
      </c>
      <c r="I10" s="109"/>
      <c r="J10" s="115"/>
    </row>
    <row r="11" spans="1:11" ht="89.25" x14ac:dyDescent="0.25">
      <c r="A11" s="7">
        <v>6</v>
      </c>
      <c r="B11" s="12" t="s">
        <v>17</v>
      </c>
      <c r="C11" s="12" t="s">
        <v>6</v>
      </c>
      <c r="D11" s="12" t="s">
        <v>9</v>
      </c>
      <c r="E11" s="118"/>
      <c r="F11" s="12" t="s">
        <v>23</v>
      </c>
      <c r="G11" s="68">
        <v>0</v>
      </c>
      <c r="H11" s="95">
        <v>0</v>
      </c>
      <c r="I11" s="110"/>
      <c r="J11" s="115"/>
    </row>
    <row r="12" spans="1:11" ht="89.25" x14ac:dyDescent="0.25">
      <c r="A12" s="7">
        <v>7</v>
      </c>
      <c r="B12" s="12" t="s">
        <v>17</v>
      </c>
      <c r="C12" s="12" t="s">
        <v>6</v>
      </c>
      <c r="D12" s="12" t="s">
        <v>9</v>
      </c>
      <c r="E12" s="118"/>
      <c r="F12" s="12" t="s">
        <v>24</v>
      </c>
      <c r="G12" s="68">
        <v>0</v>
      </c>
      <c r="H12" s="95">
        <v>0</v>
      </c>
      <c r="I12" s="110"/>
      <c r="J12" s="115"/>
    </row>
    <row r="13" spans="1:11" ht="89.25" x14ac:dyDescent="0.25">
      <c r="A13" s="7">
        <v>8</v>
      </c>
      <c r="B13" s="12" t="s">
        <v>17</v>
      </c>
      <c r="C13" s="12" t="s">
        <v>6</v>
      </c>
      <c r="D13" s="12" t="s">
        <v>9</v>
      </c>
      <c r="E13" s="118"/>
      <c r="F13" s="12" t="s">
        <v>25</v>
      </c>
      <c r="G13" s="68">
        <v>0</v>
      </c>
      <c r="H13" s="95">
        <v>0</v>
      </c>
      <c r="I13" s="110"/>
      <c r="J13" s="115"/>
    </row>
    <row r="14" spans="1:11" ht="89.25" x14ac:dyDescent="0.25">
      <c r="A14" s="7">
        <v>9</v>
      </c>
      <c r="B14" s="12" t="s">
        <v>17</v>
      </c>
      <c r="C14" s="12" t="s">
        <v>6</v>
      </c>
      <c r="D14" s="12" t="s">
        <v>9</v>
      </c>
      <c r="E14" s="118"/>
      <c r="F14" s="12" t="s">
        <v>26</v>
      </c>
      <c r="G14" s="68">
        <v>0</v>
      </c>
      <c r="H14" s="95">
        <v>0</v>
      </c>
      <c r="I14" s="110"/>
      <c r="J14" s="115"/>
    </row>
    <row r="15" spans="1:11" ht="90" thickBot="1" x14ac:dyDescent="0.3">
      <c r="A15" s="8">
        <v>10</v>
      </c>
      <c r="B15" s="9" t="s">
        <v>17</v>
      </c>
      <c r="C15" s="9" t="s">
        <v>6</v>
      </c>
      <c r="D15" s="9" t="s">
        <v>9</v>
      </c>
      <c r="E15" s="105"/>
      <c r="F15" s="9" t="s">
        <v>27</v>
      </c>
      <c r="G15" s="69">
        <f>1.791/1000</f>
        <v>1.7909999999999998E-3</v>
      </c>
      <c r="H15" s="96">
        <f>1.791/1000</f>
        <v>1.7909999999999998E-3</v>
      </c>
      <c r="I15" s="111"/>
      <c r="J15" s="107"/>
    </row>
    <row r="17" spans="7:7" ht="63" customHeight="1" x14ac:dyDescent="0.25">
      <c r="G17" s="41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Февраль!Область_печати</vt:lpstr>
      <vt:lpstr>Январь!Область_печати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Потетюрин Максим Александрович</cp:lastModifiedBy>
  <dcterms:created xsi:type="dcterms:W3CDTF">2019-02-07T04:10:07Z</dcterms:created>
  <dcterms:modified xsi:type="dcterms:W3CDTF">2022-11-16T01:42:54Z</dcterms:modified>
</cp:coreProperties>
</file>